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bsem\Documents\Misc\Baseball\Kids Baseball\Mike's Baseball\Website\2019\"/>
    </mc:Choice>
  </mc:AlternateContent>
  <xr:revisionPtr revIDLastSave="0" documentId="13_ncr:1_{DBB370EC-131D-4F2D-89CC-361FB9B47AAA}" xr6:coauthVersionLast="47" xr6:coauthVersionMax="47" xr10:uidLastSave="{00000000-0000-0000-0000-000000000000}"/>
  <bookViews>
    <workbookView xWindow="-108" yWindow="-108" windowWidth="23256" windowHeight="12576" xr2:uid="{3DFCCDC4-631E-4951-A1C4-59D8C324631B}"/>
  </bookViews>
  <sheets>
    <sheet name="2022" sheetId="1" r:id="rId1"/>
    <sheet name="Top 3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0" i="2" l="1"/>
  <c r="G29" i="2"/>
  <c r="E29" i="2"/>
  <c r="E28" i="2"/>
  <c r="C30" i="2"/>
  <c r="M26" i="2"/>
  <c r="M24" i="2"/>
  <c r="K24" i="2"/>
  <c r="G23" i="2"/>
  <c r="G25" i="2"/>
  <c r="I23" i="2"/>
  <c r="I24" i="2"/>
  <c r="I25" i="2"/>
  <c r="E26" i="2"/>
  <c r="M11" i="2"/>
  <c r="M9" i="2"/>
  <c r="K11" i="2"/>
  <c r="K10" i="2"/>
  <c r="I11" i="2"/>
  <c r="I9" i="2"/>
  <c r="G9" i="2"/>
  <c r="C9" i="2"/>
  <c r="C11" i="2"/>
  <c r="K7" i="2"/>
  <c r="I6" i="2"/>
  <c r="O82" i="1"/>
  <c r="Q73" i="1"/>
  <c r="P73" i="1"/>
  <c r="M70" i="1"/>
  <c r="K70" i="1"/>
  <c r="E70" i="1"/>
  <c r="Q70" i="1" s="1"/>
  <c r="D70" i="1"/>
  <c r="Q78" i="1"/>
  <c r="P78" i="1"/>
  <c r="J75" i="1"/>
  <c r="G75" i="1"/>
  <c r="E75" i="1"/>
  <c r="P75" i="1" s="1"/>
  <c r="B75" i="1"/>
  <c r="J74" i="1"/>
  <c r="I74" i="1"/>
  <c r="G74" i="1"/>
  <c r="E74" i="1"/>
  <c r="P74" i="1" s="1"/>
  <c r="B74" i="1"/>
  <c r="Q76" i="1"/>
  <c r="P76" i="1"/>
  <c r="L76" i="1"/>
  <c r="N68" i="1"/>
  <c r="K68" i="1"/>
  <c r="J68" i="1"/>
  <c r="I68" i="1"/>
  <c r="G68" i="1"/>
  <c r="F68" i="1"/>
  <c r="E68" i="1"/>
  <c r="C68" i="1"/>
  <c r="B68" i="1"/>
  <c r="Q81" i="1"/>
  <c r="P81" i="1"/>
  <c r="K77" i="1"/>
  <c r="J77" i="1"/>
  <c r="I77" i="1"/>
  <c r="G77" i="1"/>
  <c r="F77" i="1"/>
  <c r="E77" i="1"/>
  <c r="Q69" i="1"/>
  <c r="P69" i="1"/>
  <c r="H69" i="1"/>
  <c r="Q80" i="1"/>
  <c r="P80" i="1"/>
  <c r="L71" i="1"/>
  <c r="K71" i="1"/>
  <c r="E71" i="1"/>
  <c r="Q71" i="1" s="1"/>
  <c r="M67" i="1"/>
  <c r="E67" i="1"/>
  <c r="D67" i="1"/>
  <c r="Q79" i="1"/>
  <c r="P79" i="1"/>
  <c r="N72" i="1"/>
  <c r="M72" i="1"/>
  <c r="K72" i="1"/>
  <c r="J72" i="1"/>
  <c r="I72" i="1"/>
  <c r="H72" i="1"/>
  <c r="G72" i="1"/>
  <c r="F72" i="1"/>
  <c r="E72" i="1"/>
  <c r="D72" i="1"/>
  <c r="C72" i="1"/>
  <c r="B72" i="1"/>
  <c r="L66" i="1"/>
  <c r="J66" i="1"/>
  <c r="I66" i="1"/>
  <c r="H66" i="1"/>
  <c r="G66" i="1"/>
  <c r="F66" i="1"/>
  <c r="E66" i="1"/>
  <c r="C66" i="1"/>
  <c r="W58" i="1"/>
  <c r="U58" i="1"/>
  <c r="T58" i="1"/>
  <c r="S58" i="1"/>
  <c r="Q58" i="1"/>
  <c r="W57" i="1"/>
  <c r="U57" i="1"/>
  <c r="R57" i="1"/>
  <c r="Q57" i="1"/>
  <c r="P57" i="1"/>
  <c r="O57" i="1"/>
  <c r="T57" i="1" s="1"/>
  <c r="W56" i="1"/>
  <c r="U56" i="1"/>
  <c r="T56" i="1"/>
  <c r="W55" i="1"/>
  <c r="U55" i="1"/>
  <c r="T55" i="1"/>
  <c r="W54" i="1"/>
  <c r="R54" i="1"/>
  <c r="P54" i="1"/>
  <c r="N54" i="1"/>
  <c r="L54" i="1"/>
  <c r="T54" i="1" s="1"/>
  <c r="J54" i="1"/>
  <c r="U54" i="1" s="1"/>
  <c r="P53" i="1"/>
  <c r="G53" i="1"/>
  <c r="U53" i="1" s="1"/>
  <c r="F53" i="1"/>
  <c r="W53" i="1" s="1"/>
  <c r="W52" i="1"/>
  <c r="U52" i="1"/>
  <c r="T52" i="1"/>
  <c r="W51" i="1"/>
  <c r="U51" i="1"/>
  <c r="R51" i="1"/>
  <c r="Q51" i="1"/>
  <c r="P51" i="1"/>
  <c r="O51" i="1"/>
  <c r="T51" i="1" s="1"/>
  <c r="L50" i="1"/>
  <c r="K50" i="1"/>
  <c r="G50" i="1"/>
  <c r="U50" i="1" s="1"/>
  <c r="F50" i="1"/>
  <c r="E50" i="1"/>
  <c r="W49" i="1"/>
  <c r="U49" i="1"/>
  <c r="T49" i="1"/>
  <c r="W48" i="1"/>
  <c r="U48" i="1"/>
  <c r="T48" i="1"/>
  <c r="W47" i="1"/>
  <c r="U47" i="1"/>
  <c r="T47" i="1"/>
  <c r="V47" i="1" s="1"/>
  <c r="S46" i="1"/>
  <c r="S59" i="1" s="1"/>
  <c r="R46" i="1"/>
  <c r="P46" i="1"/>
  <c r="O46" i="1"/>
  <c r="N46" i="1"/>
  <c r="L46" i="1"/>
  <c r="K46" i="1"/>
  <c r="H46" i="1"/>
  <c r="G46" i="1"/>
  <c r="F46" i="1"/>
  <c r="E46" i="1"/>
  <c r="D46" i="1"/>
  <c r="C46" i="1"/>
  <c r="B46" i="1"/>
  <c r="L45" i="1"/>
  <c r="H45" i="1"/>
  <c r="G45" i="1"/>
  <c r="F45" i="1"/>
  <c r="E45" i="1"/>
  <c r="W44" i="1"/>
  <c r="Q44" i="1"/>
  <c r="P44" i="1"/>
  <c r="M44" i="1"/>
  <c r="L44" i="1"/>
  <c r="J44" i="1"/>
  <c r="G44" i="1"/>
  <c r="E44" i="1"/>
  <c r="W43" i="1"/>
  <c r="Q43" i="1"/>
  <c r="O43" i="1"/>
  <c r="T43" i="1" s="1"/>
  <c r="J43" i="1"/>
  <c r="H43" i="1"/>
  <c r="W42" i="1"/>
  <c r="U42" i="1"/>
  <c r="R42" i="1"/>
  <c r="O42" i="1"/>
  <c r="T42" i="1" s="1"/>
  <c r="W41" i="1"/>
  <c r="U41" i="1"/>
  <c r="T41" i="1"/>
  <c r="W40" i="1"/>
  <c r="U40" i="1"/>
  <c r="T40" i="1"/>
  <c r="W39" i="1"/>
  <c r="U39" i="1"/>
  <c r="T39" i="1"/>
  <c r="W38" i="1"/>
  <c r="U38" i="1"/>
  <c r="T38" i="1"/>
  <c r="R38" i="1"/>
  <c r="R37" i="1"/>
  <c r="P37" i="1"/>
  <c r="N37" i="1"/>
  <c r="M37" i="1"/>
  <c r="L37" i="1"/>
  <c r="K37" i="1"/>
  <c r="H37" i="1"/>
  <c r="H59" i="1" s="1"/>
  <c r="G37" i="1"/>
  <c r="F37" i="1"/>
  <c r="E37" i="1"/>
  <c r="E59" i="1" s="1"/>
  <c r="D37" i="1"/>
  <c r="C37" i="1"/>
  <c r="B37" i="1"/>
  <c r="B59" i="1" s="1"/>
  <c r="W36" i="1"/>
  <c r="U36" i="1"/>
  <c r="T36" i="1"/>
  <c r="W35" i="1"/>
  <c r="U35" i="1"/>
  <c r="T35" i="1"/>
  <c r="V35" i="1" s="1"/>
  <c r="W34" i="1"/>
  <c r="U34" i="1"/>
  <c r="T34" i="1"/>
  <c r="W33" i="1"/>
  <c r="U33" i="1"/>
  <c r="T33" i="1"/>
  <c r="W32" i="1"/>
  <c r="P32" i="1"/>
  <c r="O32" i="1"/>
  <c r="M32" i="1"/>
  <c r="L32" i="1"/>
  <c r="K32" i="1"/>
  <c r="K59" i="1" s="1"/>
  <c r="I32" i="1"/>
  <c r="U32" i="1" s="1"/>
  <c r="W31" i="1"/>
  <c r="U31" i="1"/>
  <c r="T31" i="1"/>
  <c r="V31" i="1" s="1"/>
  <c r="W30" i="1"/>
  <c r="U30" i="1"/>
  <c r="T30" i="1"/>
  <c r="W29" i="1"/>
  <c r="U29" i="1"/>
  <c r="T29" i="1"/>
  <c r="R29" i="1"/>
  <c r="P29" i="1"/>
  <c r="J22" i="1"/>
  <c r="I22" i="1"/>
  <c r="J21" i="1"/>
  <c r="I21" i="1"/>
  <c r="J20" i="1"/>
  <c r="I20" i="1"/>
  <c r="J19" i="1"/>
  <c r="I19" i="1"/>
  <c r="J18" i="1"/>
  <c r="I18" i="1"/>
  <c r="J17" i="1"/>
  <c r="I17" i="1"/>
  <c r="V52" i="1" l="1"/>
  <c r="V55" i="1"/>
  <c r="V38" i="1"/>
  <c r="V51" i="1"/>
  <c r="T37" i="1"/>
  <c r="N59" i="1"/>
  <c r="L59" i="1"/>
  <c r="W46" i="1"/>
  <c r="H82" i="1"/>
  <c r="V34" i="1"/>
  <c r="V33" i="1"/>
  <c r="V36" i="1"/>
  <c r="V42" i="1"/>
  <c r="V40" i="1"/>
  <c r="V30" i="1"/>
  <c r="T32" i="1"/>
  <c r="V32" i="1" s="1"/>
  <c r="V41" i="1"/>
  <c r="P72" i="1"/>
  <c r="P68" i="1"/>
  <c r="K82" i="1"/>
  <c r="U44" i="1"/>
  <c r="T53" i="1"/>
  <c r="V53" i="1" s="1"/>
  <c r="P66" i="1"/>
  <c r="D82" i="1"/>
  <c r="P77" i="1"/>
  <c r="V57" i="1"/>
  <c r="R59" i="1"/>
  <c r="J59" i="1"/>
  <c r="V48" i="1"/>
  <c r="N82" i="1"/>
  <c r="P59" i="1"/>
  <c r="T46" i="1"/>
  <c r="Q72" i="1"/>
  <c r="Q74" i="1"/>
  <c r="V29" i="1"/>
  <c r="M59" i="1"/>
  <c r="W37" i="1"/>
  <c r="T45" i="1"/>
  <c r="W45" i="1"/>
  <c r="G82" i="1"/>
  <c r="L82" i="1"/>
  <c r="M82" i="1"/>
  <c r="B82" i="1"/>
  <c r="Q68" i="1"/>
  <c r="Q75" i="1"/>
  <c r="F82" i="1"/>
  <c r="I82" i="1"/>
  <c r="U46" i="1"/>
  <c r="O59" i="1"/>
  <c r="C59" i="1"/>
  <c r="G59" i="1"/>
  <c r="V39" i="1"/>
  <c r="Q59" i="1"/>
  <c r="U45" i="1"/>
  <c r="V49" i="1"/>
  <c r="F59" i="1"/>
  <c r="W50" i="1"/>
  <c r="V56" i="1"/>
  <c r="V58" i="1"/>
  <c r="C82" i="1"/>
  <c r="E82" i="1"/>
  <c r="Q77" i="1"/>
  <c r="J82" i="1"/>
  <c r="P70" i="1"/>
  <c r="V54" i="1"/>
  <c r="U37" i="1"/>
  <c r="T44" i="1"/>
  <c r="T50" i="1"/>
  <c r="V50" i="1" s="1"/>
  <c r="D59" i="1"/>
  <c r="I59" i="1"/>
  <c r="Q66" i="1"/>
  <c r="P67" i="1"/>
  <c r="U43" i="1"/>
  <c r="V43" i="1" s="1"/>
  <c r="Q67" i="1"/>
  <c r="P71" i="1"/>
  <c r="V37" i="1" l="1"/>
  <c r="V44" i="1"/>
  <c r="V46" i="1"/>
  <c r="W59" i="1"/>
  <c r="P82" i="1"/>
  <c r="V45" i="1"/>
  <c r="T59" i="1"/>
  <c r="U59" i="1"/>
  <c r="Q82" i="1"/>
  <c r="V59" i="1" l="1"/>
</calcChain>
</file>

<file path=xl/sharedStrings.xml><?xml version="1.0" encoding="utf-8"?>
<sst xmlns="http://schemas.openxmlformats.org/spreadsheetml/2006/main" count="257" uniqueCount="126">
  <si>
    <t>Ken Johnson Division</t>
  </si>
  <si>
    <t>Team</t>
  </si>
  <si>
    <t>W</t>
  </si>
  <si>
    <t>L</t>
  </si>
  <si>
    <t>T</t>
  </si>
  <si>
    <t>Pts.</t>
  </si>
  <si>
    <t>RF</t>
  </si>
  <si>
    <t>RA</t>
  </si>
  <si>
    <t>PCT.</t>
  </si>
  <si>
    <t>Len Andrews Division</t>
  </si>
  <si>
    <t>Etobicoke Rangers</t>
  </si>
  <si>
    <t>Erindale Cardinals</t>
  </si>
  <si>
    <t>Brampton Royals</t>
  </si>
  <si>
    <t>Overall Standings</t>
  </si>
  <si>
    <t>GP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</si>
  <si>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</si>
  <si>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</si>
  <si>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</si>
  <si>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</si>
  <si>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</si>
  <si>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</si>
  <si>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</si>
  <si>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</si>
  <si>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</si>
  <si>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BB</t>
  </si>
  <si>
    <t>Sac</t>
  </si>
  <si>
    <t>HBP</t>
  </si>
  <si>
    <t>FC</t>
  </si>
  <si>
    <t>SB</t>
  </si>
  <si>
    <t>CS</t>
  </si>
  <si>
    <t>OBP</t>
  </si>
  <si>
    <t>SLG</t>
  </si>
  <si>
    <t>OPS</t>
  </si>
  <si>
    <t>AVG</t>
  </si>
  <si>
    <t> G</t>
  </si>
  <si>
    <t> GS</t>
  </si>
  <si>
    <t> CG</t>
  </si>
  <si>
    <t> IP</t>
  </si>
  <si>
    <t> ER</t>
  </si>
  <si>
    <t> Hits</t>
  </si>
  <si>
    <t> HR</t>
  </si>
  <si>
    <t> SO</t>
  </si>
  <si>
    <t> BB</t>
  </si>
  <si>
    <t> HBP</t>
  </si>
  <si>
    <t> WP</t>
  </si>
  <si>
    <t> Won</t>
  </si>
  <si>
    <t> Lost</t>
  </si>
  <si>
    <t> Sv</t>
  </si>
  <si>
    <t> ERA</t>
  </si>
  <si>
    <t> WHIP</t>
  </si>
  <si>
    <t>Burlington Brants</t>
  </si>
  <si>
    <t>Milton Red Sox</t>
  </si>
  <si>
    <t>SO</t>
  </si>
  <si>
    <t>Pitching</t>
  </si>
  <si>
    <t>Batting</t>
  </si>
  <si>
    <t xml:space="preserve">             Average Score</t>
  </si>
  <si>
    <t>2022 Standings</t>
  </si>
  <si>
    <t>Oakville Athletics</t>
  </si>
  <si>
    <t>-</t>
  </si>
  <si>
    <t>Team Best</t>
  </si>
  <si>
    <t>(Min 35 AB)</t>
  </si>
  <si>
    <t>RE</t>
  </si>
  <si>
    <t>Aidan Murphy</t>
  </si>
  <si>
    <t>Alex Emerson</t>
  </si>
  <si>
    <t>Alex Fascia</t>
  </si>
  <si>
    <t>Andrew Thomson</t>
  </si>
  <si>
    <t>Arman Lakhani</t>
  </si>
  <si>
    <t>Brian Stormer</t>
  </si>
  <si>
    <t>Caleb Charmov</t>
  </si>
  <si>
    <t>Cam Hibbs</t>
  </si>
  <si>
    <t>CJ Fearon</t>
  </si>
  <si>
    <t>Dawson Fascia</t>
  </si>
  <si>
    <t>Drew Huerter</t>
  </si>
  <si>
    <t>Ethan Porter</t>
  </si>
  <si>
    <t>Evan Hedley</t>
  </si>
  <si>
    <t>Jayden Jeminson</t>
  </si>
  <si>
    <t>Joe Ferreira</t>
  </si>
  <si>
    <t>Keegan Murphy</t>
  </si>
  <si>
    <t>Logan Janes</t>
  </si>
  <si>
    <t>Marco DiRoma</t>
  </si>
  <si>
    <t>Matt DiPaolo</t>
  </si>
  <si>
    <t>Michael Sookdeo</t>
  </si>
  <si>
    <t>Mike Burke</t>
  </si>
  <si>
    <t>Nick Jones</t>
  </si>
  <si>
    <t>Patrick Pinlac</t>
  </si>
  <si>
    <t>Phaisal Dhanani</t>
  </si>
  <si>
    <t>Ralph Lahey</t>
  </si>
  <si>
    <t>Sam Lebel</t>
  </si>
  <si>
    <t>Steven Hough</t>
  </si>
  <si>
    <t>Tyler Barbier</t>
  </si>
  <si>
    <t>Victor Speciale</t>
  </si>
  <si>
    <t>Total</t>
  </si>
  <si>
    <t>(Min 15 IP)</t>
  </si>
  <si>
    <t xml:space="preserve">Brad McLaughlin </t>
  </si>
  <si>
    <t>Brendan Nolet</t>
  </si>
  <si>
    <t>Eric Ferreira</t>
  </si>
  <si>
    <t xml:space="preserve">Mike Burke </t>
  </si>
  <si>
    <t>R.J. Page</t>
  </si>
  <si>
    <t>Totals</t>
  </si>
  <si>
    <t>Games Played</t>
  </si>
  <si>
    <t xml:space="preserve">      At Bats</t>
  </si>
  <si>
    <t>Hits</t>
  </si>
  <si>
    <t xml:space="preserve">        1B</t>
  </si>
  <si>
    <t xml:space="preserve">      2B</t>
  </si>
  <si>
    <t xml:space="preserve">        3B</t>
  </si>
  <si>
    <t xml:space="preserve">      HR</t>
  </si>
  <si>
    <t xml:space="preserve">       RBI</t>
  </si>
  <si>
    <t xml:space="preserve">      Runs</t>
  </si>
  <si>
    <t>Stolen Bases</t>
  </si>
  <si>
    <t xml:space="preserve">        BB</t>
  </si>
  <si>
    <t xml:space="preserve">      Ks</t>
  </si>
  <si>
    <t xml:space="preserve">      AVG</t>
  </si>
  <si>
    <t xml:space="preserve">  On Base %</t>
  </si>
  <si>
    <t xml:space="preserve">    SLG %</t>
  </si>
  <si>
    <t xml:space="preserve">    OPS %</t>
  </si>
  <si>
    <t>Games Started</t>
  </si>
  <si>
    <t>Earned Runs</t>
  </si>
  <si>
    <t>Won</t>
  </si>
  <si>
    <t>Lost</t>
  </si>
  <si>
    <t>K's</t>
  </si>
  <si>
    <t>Innings</t>
  </si>
  <si>
    <t>ERA</t>
  </si>
  <si>
    <t>WHIP</t>
  </si>
  <si>
    <t>2022 - Top 3 Batting</t>
  </si>
  <si>
    <t>2022 - Top 3 Pitching</t>
  </si>
  <si>
    <t>Yannick Rickli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</si>
</sst>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.000"/>
    <numFmt numFmtId="165" formatCode="0.000"/>
    <numFmt numFmtId="166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66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66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0" fontId="6" fillId="0" borderId="0" xfId="0" applyFont="1"/>
    <xf numFmtId="1" fontId="0" fillId="0" borderId="0" xfId="0" applyNumberFormat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165" fontId="1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left"/>
    </xf>
    <xf numFmtId="165" fontId="5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left"/>
    </xf>
    <xf numFmtId="165" fontId="8" fillId="2" borderId="0" xfId="0" applyNumberFormat="1" applyFont="1" applyFill="1" applyAlignment="1">
      <alignment horizontal="center"/>
    </xf>
    <xf numFmtId="3" fontId="1" fillId="2" borderId="0" xfId="0" applyNumberFormat="1" applyFont="1" applyFill="1" applyAlignment="1">
      <alignment horizontal="center"/>
    </xf>
    <xf numFmtId="165" fontId="0" fillId="2" borderId="0" xfId="0" applyNumberFormat="1" applyFill="1" applyAlignment="1">
      <alignment horizontal="center"/>
    </xf>
    <xf numFmtId="12" fontId="1" fillId="2" borderId="0" xfId="0" applyNumberFormat="1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12" fontId="5" fillId="2" borderId="0" xfId="0" applyNumberFormat="1" applyFont="1" applyFill="1" applyAlignment="1">
      <alignment horizontal="center"/>
    </xf>
    <xf numFmtId="2" fontId="8" fillId="2" borderId="0" xfId="0" applyNumberFormat="1" applyFont="1" applyFill="1" applyAlignment="1">
      <alignment horizontal="center"/>
    </xf>
    <xf numFmtId="2" fontId="5" fillId="2" borderId="0" xfId="0" applyNumberFormat="1" applyFont="1" applyFill="1" applyAlignment="1">
      <alignment horizontal="center"/>
    </xf>
    <xf numFmtId="12" fontId="5" fillId="2" borderId="0" xfId="0" quotePrefix="1" applyNumberFormat="1" applyFont="1" applyFill="1" applyAlignment="1">
      <alignment horizontal="center"/>
    </xf>
    <xf numFmtId="12" fontId="8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1" applyNumberFormat="1" applyFont="1" applyFill="1" applyAlignment="1">
      <alignment horizontal="center"/>
    </xf>
    <xf numFmtId="2" fontId="3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3" fillId="2" borderId="5" xfId="0" applyFont="1" applyFill="1" applyBorder="1" applyAlignment="1">
      <alignment horizontal="center"/>
    </xf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2" fillId="0" borderId="0" xfId="0" applyFont="1"/>
    <xf numFmtId="164" fontId="3" fillId="2" borderId="0" xfId="0" applyNumberFormat="1" applyFont="1" applyFill="1" applyAlignment="1">
      <alignment horizontal="center"/>
    </xf>
    <xf numFmtId="0" fontId="4" fillId="0" borderId="2" xfId="0" applyFont="1" applyBorder="1" applyAlignment="1">
      <alignment horizontal="right"/>
    </xf>
    <xf numFmtId="164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0" fillId="2" borderId="4" xfId="0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0" fillId="0" borderId="2" xfId="0" applyBorder="1"/>
    <xf numFmtId="0" fontId="3" fillId="2" borderId="6" xfId="0" applyFont="1" applyFill="1" applyBorder="1" applyAlignment="1">
      <alignment horizontal="center"/>
    </xf>
    <xf numFmtId="0" fontId="10" fillId="0" borderId="1" xfId="0" applyFont="1" applyBorder="1" applyAlignment="1">
      <alignment horizontal="right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right"/>
    </xf>
    <xf numFmtId="0" fontId="10" fillId="0" borderId="3" xfId="0" applyFont="1" applyBorder="1" applyAlignment="1">
      <alignment horizontal="left"/>
    </xf>
    <xf numFmtId="0" fontId="11" fillId="0" borderId="2" xfId="0" applyFont="1" applyBorder="1"/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12" fontId="3" fillId="2" borderId="5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2" borderId="7" xfId="0" applyFont="1" applyFill="1" applyBorder="1" applyAlignment="1">
      <alignment horizontal="left"/>
    </xf>
    <xf numFmtId="12" fontId="3" fillId="2" borderId="6" xfId="0" applyNumberFormat="1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12" fillId="2" borderId="0" xfId="0" applyFont="1" applyFill="1" applyAlignment="1">
      <alignment horizontal="left"/>
    </xf>
    <xf numFmtId="0" fontId="12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E3AFB-DCFF-42F5-8EA6-021632F07838}">
  <sheetPr codeName="Sheet1"/>
  <dimension ref="A2:X82"/>
  <sheetViews>
    <sheetView showGridLines="0" tabSelected="1" workbookViewId="0"/>
  </sheetViews>
  <sheetFormatPr defaultRowHeight="14.4" x14ac:dyDescent="0.3"/>
  <cols>
    <col min="1" max="1" width="23.33203125" customWidth="1"/>
    <col min="2" max="2" width="4.77734375" customWidth="1"/>
    <col min="3" max="3" width="6.5546875" customWidth="1"/>
    <col min="4" max="4" width="5.88671875" customWidth="1"/>
    <col min="5" max="5" width="7.77734375" customWidth="1"/>
    <col min="6" max="15" width="4.77734375" customWidth="1"/>
    <col min="16" max="16" width="5.77734375" customWidth="1"/>
    <col min="17" max="19" width="4.77734375" customWidth="1"/>
    <col min="20" max="23" width="5.88671875" customWidth="1"/>
  </cols>
  <sheetData>
    <row r="2" spans="1:10" ht="18" x14ac:dyDescent="0.35">
      <c r="A2" s="1"/>
      <c r="B2" s="2"/>
      <c r="C2" s="2"/>
      <c r="D2" s="3" t="s">
        <v>56</v>
      </c>
      <c r="E2" s="2"/>
      <c r="F2" s="2"/>
      <c r="G2" s="2"/>
      <c r="H2" s="2"/>
      <c r="I2" s="2"/>
      <c r="J2" s="2"/>
    </row>
    <row r="3" spans="1:10" x14ac:dyDescent="0.3">
      <c r="B3" s="2"/>
      <c r="C3" s="2"/>
      <c r="D3" s="2"/>
      <c r="E3" s="2"/>
      <c r="F3" s="2"/>
      <c r="G3" s="2"/>
      <c r="H3" s="2"/>
      <c r="I3" s="2"/>
      <c r="J3" s="2"/>
    </row>
    <row r="4" spans="1:10" x14ac:dyDescent="0.3">
      <c r="A4" s="4" t="s">
        <v>0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/>
      <c r="J4" s="4"/>
    </row>
    <row r="5" spans="1:10" x14ac:dyDescent="0.3">
      <c r="A5" s="2" t="s">
        <v>50</v>
      </c>
      <c r="B5" s="2">
        <v>15</v>
      </c>
      <c r="C5" s="2">
        <v>9</v>
      </c>
      <c r="D5" s="2">
        <v>1</v>
      </c>
      <c r="E5" s="2">
        <v>31</v>
      </c>
      <c r="F5" s="2">
        <v>223</v>
      </c>
      <c r="G5" s="2">
        <v>194</v>
      </c>
      <c r="H5" s="5">
        <v>0.62</v>
      </c>
      <c r="I5" s="2"/>
      <c r="J5" s="2"/>
    </row>
    <row r="6" spans="1:10" x14ac:dyDescent="0.3">
      <c r="A6" s="2" t="s">
        <v>51</v>
      </c>
      <c r="B6" s="2">
        <v>14</v>
      </c>
      <c r="C6" s="2">
        <v>10</v>
      </c>
      <c r="D6" s="2">
        <v>1</v>
      </c>
      <c r="E6" s="2">
        <v>29</v>
      </c>
      <c r="F6" s="2">
        <v>204</v>
      </c>
      <c r="G6" s="2">
        <v>172</v>
      </c>
      <c r="H6" s="5">
        <v>0.57999999999999996</v>
      </c>
      <c r="I6" s="2"/>
      <c r="J6" s="2"/>
    </row>
    <row r="7" spans="1:10" x14ac:dyDescent="0.3">
      <c r="A7" s="2" t="s">
        <v>57</v>
      </c>
      <c r="B7" s="2">
        <v>5</v>
      </c>
      <c r="C7" s="2">
        <v>19</v>
      </c>
      <c r="D7" s="2" t="s">
        <v>58</v>
      </c>
      <c r="E7" s="2">
        <v>10</v>
      </c>
      <c r="F7" s="2">
        <v>172</v>
      </c>
      <c r="G7" s="2">
        <v>291</v>
      </c>
      <c r="H7" s="5">
        <v>0.20799999999999999</v>
      </c>
      <c r="I7" s="2"/>
      <c r="J7" s="2"/>
    </row>
    <row r="8" spans="1:10" x14ac:dyDescent="0.3">
      <c r="A8" s="2"/>
      <c r="B8" s="2"/>
      <c r="C8" s="2"/>
      <c r="D8" s="2"/>
      <c r="E8" s="2"/>
      <c r="F8" s="2"/>
      <c r="G8" s="2"/>
      <c r="H8" s="5"/>
      <c r="I8" s="2"/>
      <c r="J8" s="2"/>
    </row>
    <row r="9" spans="1:10" x14ac:dyDescent="0.3">
      <c r="A9" s="4" t="s">
        <v>9</v>
      </c>
      <c r="B9" s="4" t="s">
        <v>2</v>
      </c>
      <c r="C9" s="4" t="s">
        <v>3</v>
      </c>
      <c r="D9" s="4" t="s">
        <v>4</v>
      </c>
      <c r="E9" s="4" t="s">
        <v>5</v>
      </c>
      <c r="F9" s="4" t="s">
        <v>6</v>
      </c>
      <c r="G9" s="4" t="s">
        <v>7</v>
      </c>
      <c r="H9" s="4" t="s">
        <v>8</v>
      </c>
      <c r="I9" s="4"/>
      <c r="J9" s="4"/>
    </row>
    <row r="10" spans="1:10" x14ac:dyDescent="0.3">
      <c r="A10" s="2" t="s">
        <v>10</v>
      </c>
      <c r="B10" s="2">
        <v>14</v>
      </c>
      <c r="C10" s="2">
        <v>6</v>
      </c>
      <c r="D10" s="2">
        <v>2</v>
      </c>
      <c r="E10" s="2">
        <v>30</v>
      </c>
      <c r="F10" s="2">
        <v>220</v>
      </c>
      <c r="G10" s="2">
        <v>128</v>
      </c>
      <c r="H10" s="5">
        <v>0.68200000000000005</v>
      </c>
      <c r="I10" s="2"/>
      <c r="J10" s="2"/>
    </row>
    <row r="11" spans="1:10" x14ac:dyDescent="0.3">
      <c r="A11" s="2" t="s">
        <v>12</v>
      </c>
      <c r="B11" s="2">
        <v>12</v>
      </c>
      <c r="C11" s="2">
        <v>11</v>
      </c>
      <c r="D11" s="2" t="s">
        <v>58</v>
      </c>
      <c r="E11" s="2">
        <v>24</v>
      </c>
      <c r="F11" s="2">
        <v>216</v>
      </c>
      <c r="G11" s="2">
        <v>230</v>
      </c>
      <c r="H11" s="5">
        <v>0.52200000000000002</v>
      </c>
      <c r="I11" s="2"/>
      <c r="J11" s="2"/>
    </row>
    <row r="12" spans="1:10" x14ac:dyDescent="0.3">
      <c r="A12" s="2" t="s">
        <v>11</v>
      </c>
      <c r="B12" s="2">
        <v>10</v>
      </c>
      <c r="C12" s="2">
        <v>15</v>
      </c>
      <c r="D12" s="2" t="s">
        <v>58</v>
      </c>
      <c r="E12" s="2">
        <v>20</v>
      </c>
      <c r="F12" s="2">
        <v>219</v>
      </c>
      <c r="G12" s="2">
        <v>238</v>
      </c>
      <c r="H12" s="5">
        <v>0.4</v>
      </c>
      <c r="I12" s="2"/>
      <c r="J12" s="2"/>
    </row>
    <row r="13" spans="1:10" x14ac:dyDescent="0.3">
      <c r="A13" s="2"/>
      <c r="B13" s="2"/>
      <c r="C13" s="2"/>
      <c r="D13" s="2"/>
      <c r="E13" s="2"/>
      <c r="F13" s="2"/>
      <c r="G13" s="2"/>
      <c r="H13" s="5"/>
      <c r="I13" s="2"/>
      <c r="J13" s="2"/>
    </row>
    <row r="14" spans="1:10" x14ac:dyDescent="0.3">
      <c r="A14" s="2"/>
      <c r="B14" s="2"/>
      <c r="C14" s="2"/>
      <c r="D14" s="2"/>
      <c r="E14" s="2"/>
      <c r="F14" s="2"/>
      <c r="G14" s="2"/>
      <c r="H14" s="5"/>
      <c r="I14" s="2"/>
      <c r="J14" s="2"/>
    </row>
    <row r="15" spans="1:10" x14ac:dyDescent="0.3">
      <c r="A15" s="6" t="s">
        <v>13</v>
      </c>
      <c r="B15" s="2"/>
      <c r="C15" s="2"/>
      <c r="D15" s="2"/>
      <c r="E15" s="2"/>
      <c r="F15" s="2"/>
      <c r="G15" s="2"/>
      <c r="H15" s="5"/>
      <c r="I15" s="6" t="s">
        <v>55</v>
      </c>
      <c r="J15" s="7"/>
    </row>
    <row r="16" spans="1:10" x14ac:dyDescent="0.3">
      <c r="A16" s="6" t="s">
        <v>1</v>
      </c>
      <c r="B16" s="6" t="s">
        <v>2</v>
      </c>
      <c r="C16" s="6" t="s">
        <v>3</v>
      </c>
      <c r="D16" s="6" t="s">
        <v>4</v>
      </c>
      <c r="E16" s="6" t="s">
        <v>5</v>
      </c>
      <c r="F16" s="6" t="s">
        <v>6</v>
      </c>
      <c r="G16" s="6" t="s">
        <v>7</v>
      </c>
      <c r="H16" s="8" t="s">
        <v>8</v>
      </c>
      <c r="I16" s="6" t="s">
        <v>6</v>
      </c>
      <c r="J16" s="6" t="s">
        <v>7</v>
      </c>
    </row>
    <row r="17" spans="1:24" x14ac:dyDescent="0.3">
      <c r="A17" s="2" t="s">
        <v>10</v>
      </c>
      <c r="B17" s="2">
        <v>14</v>
      </c>
      <c r="C17" s="2">
        <v>6</v>
      </c>
      <c r="D17" s="2">
        <v>2</v>
      </c>
      <c r="E17" s="2">
        <v>30</v>
      </c>
      <c r="F17" s="2">
        <v>220</v>
      </c>
      <c r="G17" s="2">
        <v>128</v>
      </c>
      <c r="H17" s="5">
        <v>0.68200000000000005</v>
      </c>
      <c r="I17" s="2">
        <f>F17/22</f>
        <v>10</v>
      </c>
      <c r="J17" s="10">
        <f>G17/22</f>
        <v>5.8181818181818183</v>
      </c>
    </row>
    <row r="18" spans="1:24" x14ac:dyDescent="0.3">
      <c r="A18" s="2" t="s">
        <v>50</v>
      </c>
      <c r="B18" s="2">
        <v>15</v>
      </c>
      <c r="C18" s="2">
        <v>9</v>
      </c>
      <c r="D18" s="2">
        <v>1</v>
      </c>
      <c r="E18" s="2">
        <v>31</v>
      </c>
      <c r="F18" s="2">
        <v>223</v>
      </c>
      <c r="G18" s="2">
        <v>194</v>
      </c>
      <c r="H18" s="5">
        <v>0.62</v>
      </c>
      <c r="I18" s="10">
        <f>F18/25</f>
        <v>8.92</v>
      </c>
      <c r="J18" s="10">
        <f>G18/25</f>
        <v>7.76</v>
      </c>
    </row>
    <row r="19" spans="1:24" x14ac:dyDescent="0.3">
      <c r="A19" s="2" t="s">
        <v>51</v>
      </c>
      <c r="B19" s="2">
        <v>14</v>
      </c>
      <c r="C19" s="2">
        <v>10</v>
      </c>
      <c r="D19" s="2">
        <v>1</v>
      </c>
      <c r="E19" s="2">
        <v>29</v>
      </c>
      <c r="F19" s="2">
        <v>204</v>
      </c>
      <c r="G19" s="2">
        <v>172</v>
      </c>
      <c r="H19" s="5">
        <v>0.57999999999999996</v>
      </c>
      <c r="I19" s="10">
        <f>F19/25</f>
        <v>8.16</v>
      </c>
      <c r="J19" s="10">
        <f>G19/25</f>
        <v>6.88</v>
      </c>
    </row>
    <row r="20" spans="1:24" x14ac:dyDescent="0.3">
      <c r="A20" s="2" t="s">
        <v>12</v>
      </c>
      <c r="B20" s="2">
        <v>12</v>
      </c>
      <c r="C20" s="2">
        <v>11</v>
      </c>
      <c r="D20" s="2" t="s">
        <v>58</v>
      </c>
      <c r="E20" s="2">
        <v>24</v>
      </c>
      <c r="F20" s="2">
        <v>216</v>
      </c>
      <c r="G20" s="2">
        <v>230</v>
      </c>
      <c r="H20" s="5">
        <v>0.57199999999999995</v>
      </c>
      <c r="I20" s="7">
        <f>F20/23</f>
        <v>9.3913043478260878</v>
      </c>
      <c r="J20" s="2">
        <f>G20/23</f>
        <v>10</v>
      </c>
    </row>
    <row r="21" spans="1:24" x14ac:dyDescent="0.3">
      <c r="A21" s="2" t="s">
        <v>11</v>
      </c>
      <c r="B21" s="2">
        <v>10</v>
      </c>
      <c r="C21" s="2">
        <v>15</v>
      </c>
      <c r="D21" s="2" t="s">
        <v>58</v>
      </c>
      <c r="E21" s="2">
        <v>20</v>
      </c>
      <c r="F21" s="2">
        <v>219</v>
      </c>
      <c r="G21" s="2">
        <v>238</v>
      </c>
      <c r="H21" s="5">
        <v>0.4</v>
      </c>
      <c r="I21" s="7">
        <f>F21/25</f>
        <v>8.76</v>
      </c>
      <c r="J21" s="7">
        <f>G21/25</f>
        <v>9.52</v>
      </c>
    </row>
    <row r="22" spans="1:24" x14ac:dyDescent="0.3">
      <c r="A22" s="2" t="s">
        <v>57</v>
      </c>
      <c r="B22" s="2">
        <v>5</v>
      </c>
      <c r="C22" s="2">
        <v>19</v>
      </c>
      <c r="D22" s="2" t="s">
        <v>58</v>
      </c>
      <c r="E22" s="2">
        <v>10</v>
      </c>
      <c r="F22" s="2">
        <v>172</v>
      </c>
      <c r="G22" s="2">
        <v>291</v>
      </c>
      <c r="H22" s="5">
        <v>0.20799999999999999</v>
      </c>
      <c r="I22" s="10">
        <f>F22/24</f>
        <v>7.166666666666667</v>
      </c>
      <c r="J22" s="10">
        <f>G22/24</f>
        <v>12.125</v>
      </c>
    </row>
    <row r="23" spans="1:24" x14ac:dyDescent="0.3">
      <c r="A23" s="2"/>
      <c r="B23" s="2"/>
      <c r="C23" s="2"/>
      <c r="D23" s="2"/>
      <c r="E23" s="2"/>
      <c r="F23" s="2"/>
      <c r="G23" s="2"/>
      <c r="H23" s="5"/>
      <c r="I23" s="2"/>
      <c r="J23" s="2"/>
    </row>
    <row r="24" spans="1:24" x14ac:dyDescent="0.3">
      <c r="A24" s="2"/>
      <c r="B24" s="2"/>
      <c r="C24" s="2"/>
      <c r="D24" s="2"/>
      <c r="E24" s="2"/>
      <c r="F24" s="2"/>
      <c r="G24" s="2"/>
      <c r="H24" s="5"/>
      <c r="I24" s="2"/>
      <c r="J24" s="2"/>
    </row>
    <row r="25" spans="1:24" x14ac:dyDescent="0.3">
      <c r="A25" s="34" t="s">
        <v>59</v>
      </c>
    </row>
    <row r="26" spans="1:24" ht="21" x14ac:dyDescent="0.4">
      <c r="A26" s="18" t="s">
        <v>60</v>
      </c>
      <c r="I26" s="9" t="s">
        <v>54</v>
      </c>
    </row>
    <row r="27" spans="1:24" ht="15.6" x14ac:dyDescent="0.3">
      <c r="B27" s="12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4"/>
      <c r="V27" s="14"/>
      <c r="W27" s="14"/>
      <c r="X27" s="14"/>
    </row>
    <row r="28" spans="1:24" ht="15.6" x14ac:dyDescent="0.3">
      <c r="A28" s="16" t="s">
        <v>54</v>
      </c>
      <c r="B28" s="13" t="s">
        <v>14</v>
      </c>
      <c r="C28" s="13" t="s">
        <v>15</v>
      </c>
      <c r="D28" s="13" t="s">
        <v>16</v>
      </c>
      <c r="E28" s="13" t="s">
        <v>17</v>
      </c>
      <c r="F28" s="13" t="s">
        <v>18</v>
      </c>
      <c r="G28" s="13" t="s">
        <v>19</v>
      </c>
      <c r="H28" s="13" t="s">
        <v>20</v>
      </c>
      <c r="I28" s="13" t="s">
        <v>21</v>
      </c>
      <c r="J28" s="13" t="s">
        <v>22</v>
      </c>
      <c r="K28" s="13" t="s">
        <v>23</v>
      </c>
      <c r="L28" s="13" t="s">
        <v>24</v>
      </c>
      <c r="M28" s="13" t="s">
        <v>25</v>
      </c>
      <c r="N28" s="13" t="s">
        <v>52</v>
      </c>
      <c r="O28" s="13" t="s">
        <v>26</v>
      </c>
      <c r="P28" s="13" t="s">
        <v>61</v>
      </c>
      <c r="Q28" s="13" t="s">
        <v>27</v>
      </c>
      <c r="R28" s="13" t="s">
        <v>28</v>
      </c>
      <c r="S28" s="13" t="s">
        <v>29</v>
      </c>
      <c r="T28" s="14" t="s">
        <v>30</v>
      </c>
      <c r="U28" s="14" t="s">
        <v>31</v>
      </c>
      <c r="V28" s="14" t="s">
        <v>32</v>
      </c>
      <c r="W28" s="14" t="s">
        <v>33</v>
      </c>
    </row>
    <row r="29" spans="1:24" x14ac:dyDescent="0.3">
      <c r="A29" s="15" t="s">
        <v>62</v>
      </c>
      <c r="B29" s="15">
        <v>31</v>
      </c>
      <c r="C29" s="15">
        <v>123</v>
      </c>
      <c r="D29" s="15">
        <v>106</v>
      </c>
      <c r="E29" s="15">
        <v>28</v>
      </c>
      <c r="F29" s="15">
        <v>36</v>
      </c>
      <c r="G29" s="15">
        <v>18</v>
      </c>
      <c r="H29" s="15">
        <v>7</v>
      </c>
      <c r="I29" s="11">
        <v>5</v>
      </c>
      <c r="J29" s="15">
        <v>6</v>
      </c>
      <c r="K29" s="15">
        <v>31</v>
      </c>
      <c r="L29" s="15">
        <v>11</v>
      </c>
      <c r="M29" s="15">
        <v>0</v>
      </c>
      <c r="N29" s="15">
        <v>30</v>
      </c>
      <c r="O29" s="15">
        <v>6</v>
      </c>
      <c r="P29" s="15">
        <f>1+1</f>
        <v>2</v>
      </c>
      <c r="Q29" s="15">
        <v>4</v>
      </c>
      <c r="R29" s="15">
        <f>3+1</f>
        <v>4</v>
      </c>
      <c r="S29" s="15">
        <v>0</v>
      </c>
      <c r="T29" s="19">
        <f t="shared" ref="T29:T58" si="0">(F29+L29+O29)/(D29+O29+M29)</f>
        <v>0.4732142857142857</v>
      </c>
      <c r="U29" s="19">
        <f t="shared" ref="U29:U58" si="1">(G29+H29*2+I29*3+J29*4)/D29</f>
        <v>0.66981132075471694</v>
      </c>
      <c r="V29" s="19">
        <f t="shared" ref="V29:V58" si="2">T29+U29</f>
        <v>1.1430256064690028</v>
      </c>
      <c r="W29" s="19">
        <f t="shared" ref="W29:W58" si="3">F29/D29</f>
        <v>0.33962264150943394</v>
      </c>
    </row>
    <row r="30" spans="1:24" x14ac:dyDescent="0.3">
      <c r="A30" s="15" t="s">
        <v>63</v>
      </c>
      <c r="B30" s="15">
        <v>1</v>
      </c>
      <c r="C30" s="15">
        <v>2</v>
      </c>
      <c r="D30" s="15">
        <v>1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1</v>
      </c>
      <c r="M30" s="15">
        <v>0</v>
      </c>
      <c r="N30" s="15">
        <v>1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9">
        <f t="shared" si="0"/>
        <v>1</v>
      </c>
      <c r="U30" s="19">
        <f t="shared" si="1"/>
        <v>0</v>
      </c>
      <c r="V30" s="19">
        <f t="shared" si="2"/>
        <v>1</v>
      </c>
      <c r="W30" s="19">
        <f t="shared" si="3"/>
        <v>0</v>
      </c>
    </row>
    <row r="31" spans="1:24" x14ac:dyDescent="0.3">
      <c r="A31" s="17" t="s">
        <v>64</v>
      </c>
      <c r="B31" s="15">
        <v>8</v>
      </c>
      <c r="C31" s="15">
        <v>28</v>
      </c>
      <c r="D31" s="15">
        <v>23</v>
      </c>
      <c r="E31" s="15">
        <v>9</v>
      </c>
      <c r="F31" s="15">
        <v>14</v>
      </c>
      <c r="G31" s="15">
        <v>11</v>
      </c>
      <c r="H31" s="15">
        <v>3</v>
      </c>
      <c r="I31" s="15">
        <v>0</v>
      </c>
      <c r="J31" s="15">
        <v>0</v>
      </c>
      <c r="K31" s="15">
        <v>11</v>
      </c>
      <c r="L31" s="15">
        <v>5</v>
      </c>
      <c r="M31" s="15">
        <v>0</v>
      </c>
      <c r="N31" s="15">
        <v>1</v>
      </c>
      <c r="O31" s="15">
        <v>0</v>
      </c>
      <c r="P31" s="15">
        <v>0</v>
      </c>
      <c r="Q31" s="15">
        <v>1</v>
      </c>
      <c r="R31" s="15">
        <v>0</v>
      </c>
      <c r="S31" s="15">
        <v>0</v>
      </c>
      <c r="T31" s="19">
        <f t="shared" si="0"/>
        <v>0.82608695652173914</v>
      </c>
      <c r="U31" s="19">
        <f t="shared" si="1"/>
        <v>0.73913043478260865</v>
      </c>
      <c r="V31" s="19">
        <f t="shared" si="2"/>
        <v>1.5652173913043477</v>
      </c>
      <c r="W31" s="19">
        <f t="shared" si="3"/>
        <v>0.60869565217391308</v>
      </c>
    </row>
    <row r="32" spans="1:24" x14ac:dyDescent="0.3">
      <c r="A32" s="17" t="s">
        <v>65</v>
      </c>
      <c r="B32" s="15">
        <v>20</v>
      </c>
      <c r="C32" s="15">
        <v>74</v>
      </c>
      <c r="D32" s="15">
        <v>63</v>
      </c>
      <c r="E32" s="15">
        <v>28</v>
      </c>
      <c r="F32" s="15">
        <v>18</v>
      </c>
      <c r="G32" s="15">
        <v>15</v>
      </c>
      <c r="H32" s="15">
        <v>2</v>
      </c>
      <c r="I32" s="15">
        <f>0+1</f>
        <v>1</v>
      </c>
      <c r="J32" s="15">
        <v>0</v>
      </c>
      <c r="K32" s="15">
        <f>6+4</f>
        <v>10</v>
      </c>
      <c r="L32" s="15">
        <f>3+2</f>
        <v>5</v>
      </c>
      <c r="M32" s="15">
        <f>0+2</f>
        <v>2</v>
      </c>
      <c r="N32" s="15">
        <v>13</v>
      </c>
      <c r="O32" s="15">
        <f>2+2</f>
        <v>4</v>
      </c>
      <c r="P32" s="15">
        <f>0+1</f>
        <v>1</v>
      </c>
      <c r="Q32" s="15">
        <v>2</v>
      </c>
      <c r="R32" s="15">
        <v>1</v>
      </c>
      <c r="S32" s="15">
        <v>0</v>
      </c>
      <c r="T32" s="19">
        <f t="shared" si="0"/>
        <v>0.39130434782608697</v>
      </c>
      <c r="U32" s="19">
        <f t="shared" si="1"/>
        <v>0.34920634920634919</v>
      </c>
      <c r="V32" s="19">
        <f t="shared" si="2"/>
        <v>0.74051069703243622</v>
      </c>
      <c r="W32" s="19">
        <f t="shared" si="3"/>
        <v>0.2857142857142857</v>
      </c>
    </row>
    <row r="33" spans="1:23" x14ac:dyDescent="0.3">
      <c r="A33" s="17" t="s">
        <v>66</v>
      </c>
      <c r="B33" s="15">
        <v>2</v>
      </c>
      <c r="C33" s="15">
        <v>3</v>
      </c>
      <c r="D33" s="15">
        <v>2</v>
      </c>
      <c r="E33" s="15">
        <v>1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2</v>
      </c>
      <c r="L33" s="15">
        <v>1</v>
      </c>
      <c r="M33" s="15">
        <v>0</v>
      </c>
      <c r="N33" s="15">
        <v>0</v>
      </c>
      <c r="O33" s="15">
        <v>0</v>
      </c>
      <c r="P33" s="15">
        <v>1</v>
      </c>
      <c r="Q33" s="15">
        <v>0</v>
      </c>
      <c r="R33" s="15">
        <v>0</v>
      </c>
      <c r="S33" s="15">
        <v>0</v>
      </c>
      <c r="T33" s="19">
        <f t="shared" si="0"/>
        <v>0.5</v>
      </c>
      <c r="U33" s="19">
        <f t="shared" si="1"/>
        <v>0</v>
      </c>
      <c r="V33" s="19">
        <f t="shared" si="2"/>
        <v>0.5</v>
      </c>
      <c r="W33" s="19">
        <f t="shared" si="3"/>
        <v>0</v>
      </c>
    </row>
    <row r="34" spans="1:23" x14ac:dyDescent="0.3">
      <c r="A34" s="17" t="s">
        <v>67</v>
      </c>
      <c r="B34" s="15">
        <v>6</v>
      </c>
      <c r="C34" s="15">
        <v>17</v>
      </c>
      <c r="D34" s="15">
        <v>17</v>
      </c>
      <c r="E34" s="15">
        <v>2</v>
      </c>
      <c r="F34" s="15">
        <v>4</v>
      </c>
      <c r="G34" s="15">
        <v>3</v>
      </c>
      <c r="H34" s="15">
        <v>1</v>
      </c>
      <c r="I34" s="15">
        <v>0</v>
      </c>
      <c r="J34" s="15">
        <v>0</v>
      </c>
      <c r="K34" s="15">
        <v>2</v>
      </c>
      <c r="L34" s="15">
        <v>0</v>
      </c>
      <c r="M34" s="15">
        <v>0</v>
      </c>
      <c r="N34" s="15">
        <v>4</v>
      </c>
      <c r="O34" s="15">
        <v>0</v>
      </c>
      <c r="P34" s="15">
        <v>1</v>
      </c>
      <c r="Q34" s="15">
        <v>1</v>
      </c>
      <c r="R34" s="15">
        <v>0</v>
      </c>
      <c r="S34" s="15">
        <v>0</v>
      </c>
      <c r="T34" s="19">
        <f t="shared" si="0"/>
        <v>0.23529411764705882</v>
      </c>
      <c r="U34" s="19">
        <f t="shared" si="1"/>
        <v>0.29411764705882354</v>
      </c>
      <c r="V34" s="19">
        <f t="shared" si="2"/>
        <v>0.52941176470588236</v>
      </c>
      <c r="W34" s="19">
        <f t="shared" si="3"/>
        <v>0.23529411764705882</v>
      </c>
    </row>
    <row r="35" spans="1:23" x14ac:dyDescent="0.3">
      <c r="A35" s="15" t="s">
        <v>68</v>
      </c>
      <c r="B35" s="15">
        <v>1</v>
      </c>
      <c r="C35" s="15">
        <v>3</v>
      </c>
      <c r="D35" s="15">
        <v>3</v>
      </c>
      <c r="E35" s="15">
        <v>1</v>
      </c>
      <c r="F35" s="15">
        <v>1</v>
      </c>
      <c r="G35" s="15">
        <v>1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9">
        <f t="shared" si="0"/>
        <v>0.33333333333333331</v>
      </c>
      <c r="U35" s="19">
        <f t="shared" si="1"/>
        <v>0.33333333333333331</v>
      </c>
      <c r="V35" s="19">
        <f t="shared" si="2"/>
        <v>0.66666666666666663</v>
      </c>
      <c r="W35" s="19">
        <f t="shared" si="3"/>
        <v>0.33333333333333331</v>
      </c>
    </row>
    <row r="36" spans="1:23" x14ac:dyDescent="0.3">
      <c r="A36" s="17" t="s">
        <v>69</v>
      </c>
      <c r="B36" s="15">
        <v>4</v>
      </c>
      <c r="C36" s="15">
        <v>9</v>
      </c>
      <c r="D36" s="15">
        <v>9</v>
      </c>
      <c r="E36" s="15">
        <v>1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4</v>
      </c>
      <c r="O36" s="15">
        <v>0</v>
      </c>
      <c r="P36" s="15">
        <v>1</v>
      </c>
      <c r="Q36" s="15">
        <v>1</v>
      </c>
      <c r="R36" s="15">
        <v>0</v>
      </c>
      <c r="S36" s="15">
        <v>0</v>
      </c>
      <c r="T36" s="19">
        <f t="shared" si="0"/>
        <v>0</v>
      </c>
      <c r="U36" s="19">
        <f t="shared" si="1"/>
        <v>0</v>
      </c>
      <c r="V36" s="19">
        <f t="shared" si="2"/>
        <v>0</v>
      </c>
      <c r="W36" s="19">
        <f t="shared" si="3"/>
        <v>0</v>
      </c>
    </row>
    <row r="37" spans="1:23" x14ac:dyDescent="0.3">
      <c r="A37" s="15" t="s">
        <v>70</v>
      </c>
      <c r="B37" s="15">
        <f>15+9</f>
        <v>24</v>
      </c>
      <c r="C37" s="15">
        <f>66+36</f>
        <v>102</v>
      </c>
      <c r="D37" s="15">
        <f>54+27</f>
        <v>81</v>
      </c>
      <c r="E37" s="11">
        <f>24+7</f>
        <v>31</v>
      </c>
      <c r="F37" s="15">
        <f>22+10</f>
        <v>32</v>
      </c>
      <c r="G37" s="15">
        <f>17+8</f>
        <v>25</v>
      </c>
      <c r="H37" s="15">
        <f>4+2</f>
        <v>6</v>
      </c>
      <c r="I37" s="15">
        <v>1</v>
      </c>
      <c r="J37" s="15">
        <v>0</v>
      </c>
      <c r="K37" s="15">
        <f>6+2</f>
        <v>8</v>
      </c>
      <c r="L37" s="15">
        <f>7+8</f>
        <v>15</v>
      </c>
      <c r="M37" s="15">
        <f>0+1</f>
        <v>1</v>
      </c>
      <c r="N37" s="15">
        <f>7+2</f>
        <v>9</v>
      </c>
      <c r="O37" s="15">
        <v>4</v>
      </c>
      <c r="P37" s="15">
        <f>2+3</f>
        <v>5</v>
      </c>
      <c r="Q37" s="15">
        <v>2</v>
      </c>
      <c r="R37" s="11">
        <f>17+9</f>
        <v>26</v>
      </c>
      <c r="S37" s="15">
        <v>1</v>
      </c>
      <c r="T37" s="21">
        <f t="shared" si="0"/>
        <v>0.59302325581395354</v>
      </c>
      <c r="U37" s="19">
        <f t="shared" si="1"/>
        <v>0.49382716049382713</v>
      </c>
      <c r="V37" s="19">
        <f t="shared" si="2"/>
        <v>1.0868504163077808</v>
      </c>
      <c r="W37" s="21">
        <f t="shared" si="3"/>
        <v>0.39506172839506171</v>
      </c>
    </row>
    <row r="38" spans="1:23" x14ac:dyDescent="0.3">
      <c r="A38" s="15" t="s">
        <v>71</v>
      </c>
      <c r="B38" s="15">
        <v>32</v>
      </c>
      <c r="C38" s="15">
        <v>117</v>
      </c>
      <c r="D38" s="15">
        <v>102</v>
      </c>
      <c r="E38" s="15">
        <v>16</v>
      </c>
      <c r="F38" s="15">
        <v>28</v>
      </c>
      <c r="G38" s="15">
        <v>17</v>
      </c>
      <c r="H38" s="15">
        <v>7</v>
      </c>
      <c r="I38" s="15">
        <v>4</v>
      </c>
      <c r="J38" s="15">
        <v>0</v>
      </c>
      <c r="K38" s="15">
        <v>17</v>
      </c>
      <c r="L38" s="15">
        <v>11</v>
      </c>
      <c r="M38" s="15">
        <v>0</v>
      </c>
      <c r="N38" s="15">
        <v>11</v>
      </c>
      <c r="O38" s="15">
        <v>5</v>
      </c>
      <c r="P38" s="15">
        <v>2</v>
      </c>
      <c r="Q38" s="11">
        <v>5</v>
      </c>
      <c r="R38" s="15">
        <f>1+1</f>
        <v>2</v>
      </c>
      <c r="S38" s="15">
        <v>0</v>
      </c>
      <c r="T38" s="19">
        <f t="shared" si="0"/>
        <v>0.41121495327102803</v>
      </c>
      <c r="U38" s="19">
        <f t="shared" si="1"/>
        <v>0.42156862745098039</v>
      </c>
      <c r="V38" s="19">
        <f t="shared" si="2"/>
        <v>0.83278358072200842</v>
      </c>
      <c r="W38" s="19">
        <f t="shared" si="3"/>
        <v>0.27450980392156865</v>
      </c>
    </row>
    <row r="39" spans="1:23" x14ac:dyDescent="0.3">
      <c r="A39" s="17" t="s">
        <v>72</v>
      </c>
      <c r="B39" s="15">
        <v>2</v>
      </c>
      <c r="C39" s="15">
        <v>7</v>
      </c>
      <c r="D39" s="15">
        <v>7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1</v>
      </c>
      <c r="Q39" s="15">
        <v>0</v>
      </c>
      <c r="R39" s="15">
        <v>0</v>
      </c>
      <c r="S39" s="15">
        <v>0</v>
      </c>
      <c r="T39" s="19">
        <f t="shared" si="0"/>
        <v>0</v>
      </c>
      <c r="U39" s="19">
        <f t="shared" si="1"/>
        <v>0</v>
      </c>
      <c r="V39" s="19">
        <f t="shared" si="2"/>
        <v>0</v>
      </c>
      <c r="W39" s="19">
        <f t="shared" si="3"/>
        <v>0</v>
      </c>
    </row>
    <row r="40" spans="1:23" x14ac:dyDescent="0.3">
      <c r="A40" s="15" t="s">
        <v>73</v>
      </c>
      <c r="B40" s="15">
        <v>1</v>
      </c>
      <c r="C40" s="15">
        <v>1</v>
      </c>
      <c r="D40" s="15">
        <v>1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1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9">
        <f t="shared" si="0"/>
        <v>0</v>
      </c>
      <c r="U40" s="19">
        <f t="shared" si="1"/>
        <v>0</v>
      </c>
      <c r="V40" s="19">
        <f t="shared" si="2"/>
        <v>0</v>
      </c>
      <c r="W40" s="19">
        <f t="shared" si="3"/>
        <v>0</v>
      </c>
    </row>
    <row r="41" spans="1:23" x14ac:dyDescent="0.3">
      <c r="A41" s="15" t="s">
        <v>74</v>
      </c>
      <c r="B41" s="15">
        <v>1</v>
      </c>
      <c r="C41" s="15">
        <v>1</v>
      </c>
      <c r="D41" s="15">
        <v>1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9">
        <f t="shared" si="0"/>
        <v>0</v>
      </c>
      <c r="U41" s="19">
        <f t="shared" si="1"/>
        <v>0</v>
      </c>
      <c r="V41" s="19">
        <f t="shared" si="2"/>
        <v>0</v>
      </c>
      <c r="W41" s="19">
        <f t="shared" si="3"/>
        <v>0</v>
      </c>
    </row>
    <row r="42" spans="1:23" x14ac:dyDescent="0.3">
      <c r="A42" s="17" t="s">
        <v>75</v>
      </c>
      <c r="B42" s="15">
        <v>24</v>
      </c>
      <c r="C42" s="15">
        <v>72</v>
      </c>
      <c r="D42" s="15">
        <v>60</v>
      </c>
      <c r="E42" s="15">
        <v>11</v>
      </c>
      <c r="F42" s="15">
        <v>13</v>
      </c>
      <c r="G42" s="15">
        <v>8</v>
      </c>
      <c r="H42" s="15">
        <v>5</v>
      </c>
      <c r="I42" s="15">
        <v>0</v>
      </c>
      <c r="J42" s="15">
        <v>0</v>
      </c>
      <c r="K42" s="15">
        <v>13</v>
      </c>
      <c r="L42" s="15">
        <v>7</v>
      </c>
      <c r="M42" s="15">
        <v>0</v>
      </c>
      <c r="N42" s="15">
        <v>20</v>
      </c>
      <c r="O42" s="15">
        <f>3+1</f>
        <v>4</v>
      </c>
      <c r="P42" s="15">
        <v>2</v>
      </c>
      <c r="Q42" s="15">
        <v>0</v>
      </c>
      <c r="R42" s="15">
        <f>3+1</f>
        <v>4</v>
      </c>
      <c r="S42" s="15">
        <v>0</v>
      </c>
      <c r="T42" s="19">
        <f t="shared" si="0"/>
        <v>0.375</v>
      </c>
      <c r="U42" s="19">
        <f t="shared" si="1"/>
        <v>0.3</v>
      </c>
      <c r="V42" s="19">
        <f t="shared" si="2"/>
        <v>0.67500000000000004</v>
      </c>
      <c r="W42" s="19">
        <f t="shared" si="3"/>
        <v>0.21666666666666667</v>
      </c>
    </row>
    <row r="43" spans="1:23" x14ac:dyDescent="0.3">
      <c r="A43" s="15" t="s">
        <v>76</v>
      </c>
      <c r="B43" s="15">
        <v>29</v>
      </c>
      <c r="C43" s="15">
        <v>118</v>
      </c>
      <c r="D43" s="15">
        <v>98</v>
      </c>
      <c r="E43" s="15">
        <v>29</v>
      </c>
      <c r="F43" s="15">
        <v>37</v>
      </c>
      <c r="G43" s="15">
        <v>21</v>
      </c>
      <c r="H43" s="15">
        <f>8+1</f>
        <v>9</v>
      </c>
      <c r="I43" s="15">
        <v>0</v>
      </c>
      <c r="J43" s="11">
        <f>6+1</f>
        <v>7</v>
      </c>
      <c r="K43" s="15">
        <v>28</v>
      </c>
      <c r="L43" s="15">
        <v>13</v>
      </c>
      <c r="M43" s="15">
        <v>0</v>
      </c>
      <c r="N43" s="15">
        <v>20</v>
      </c>
      <c r="O43" s="15">
        <f>2+4</f>
        <v>6</v>
      </c>
      <c r="P43" s="15">
        <v>2</v>
      </c>
      <c r="Q43" s="15">
        <f>2+1</f>
        <v>3</v>
      </c>
      <c r="R43" s="15">
        <v>0</v>
      </c>
      <c r="S43" s="15">
        <v>0</v>
      </c>
      <c r="T43" s="19">
        <f t="shared" si="0"/>
        <v>0.53846153846153844</v>
      </c>
      <c r="U43" s="21">
        <f t="shared" si="1"/>
        <v>0.68367346938775508</v>
      </c>
      <c r="V43" s="21">
        <f t="shared" si="2"/>
        <v>1.2221350078492934</v>
      </c>
      <c r="W43" s="19">
        <f t="shared" si="3"/>
        <v>0.37755102040816324</v>
      </c>
    </row>
    <row r="44" spans="1:23" x14ac:dyDescent="0.3">
      <c r="A44" s="15" t="s">
        <v>77</v>
      </c>
      <c r="B44" s="15">
        <v>29</v>
      </c>
      <c r="C44" s="15">
        <v>106</v>
      </c>
      <c r="D44" s="15">
        <v>86</v>
      </c>
      <c r="E44" s="15">
        <f>6+5</f>
        <v>11</v>
      </c>
      <c r="F44" s="15">
        <v>23</v>
      </c>
      <c r="G44" s="15">
        <f>10+6</f>
        <v>16</v>
      </c>
      <c r="H44" s="15">
        <v>3</v>
      </c>
      <c r="I44" s="15">
        <v>2</v>
      </c>
      <c r="J44" s="15">
        <f>1+1</f>
        <v>2</v>
      </c>
      <c r="K44" s="15">
        <v>15</v>
      </c>
      <c r="L44" s="15">
        <f>11+3</f>
        <v>14</v>
      </c>
      <c r="M44" s="11">
        <f>9+2</f>
        <v>11</v>
      </c>
      <c r="N44" s="15">
        <v>21</v>
      </c>
      <c r="O44" s="15">
        <v>2</v>
      </c>
      <c r="P44" s="15">
        <f>1+1</f>
        <v>2</v>
      </c>
      <c r="Q44" s="15">
        <f>2+2</f>
        <v>4</v>
      </c>
      <c r="R44" s="15">
        <v>0</v>
      </c>
      <c r="S44" s="15">
        <v>0</v>
      </c>
      <c r="T44" s="19">
        <f t="shared" si="0"/>
        <v>0.39393939393939392</v>
      </c>
      <c r="U44" s="19">
        <f t="shared" si="1"/>
        <v>0.41860465116279072</v>
      </c>
      <c r="V44" s="19">
        <f t="shared" si="2"/>
        <v>0.81254404510218459</v>
      </c>
      <c r="W44" s="19">
        <f t="shared" si="3"/>
        <v>0.26744186046511625</v>
      </c>
    </row>
    <row r="45" spans="1:23" x14ac:dyDescent="0.3">
      <c r="A45" s="17" t="s">
        <v>78</v>
      </c>
      <c r="B45" s="15">
        <v>10</v>
      </c>
      <c r="C45" s="15">
        <v>20</v>
      </c>
      <c r="D45" s="15">
        <v>19</v>
      </c>
      <c r="E45" s="15">
        <f>0+1</f>
        <v>1</v>
      </c>
      <c r="F45" s="15">
        <f>1+2</f>
        <v>3</v>
      </c>
      <c r="G45" s="15">
        <f>1+1</f>
        <v>2</v>
      </c>
      <c r="H45" s="15">
        <f>0+1</f>
        <v>1</v>
      </c>
      <c r="I45" s="15">
        <v>0</v>
      </c>
      <c r="J45" s="15">
        <v>0</v>
      </c>
      <c r="K45" s="15">
        <v>1</v>
      </c>
      <c r="L45" s="15">
        <f>0+1</f>
        <v>1</v>
      </c>
      <c r="M45" s="15">
        <v>0</v>
      </c>
      <c r="N45" s="15">
        <v>7</v>
      </c>
      <c r="O45" s="15">
        <v>0</v>
      </c>
      <c r="P45" s="15">
        <v>0</v>
      </c>
      <c r="Q45" s="15">
        <v>1</v>
      </c>
      <c r="R45" s="15">
        <v>0</v>
      </c>
      <c r="S45" s="15">
        <v>0</v>
      </c>
      <c r="T45" s="19">
        <f t="shared" si="0"/>
        <v>0.21052631578947367</v>
      </c>
      <c r="U45" s="19">
        <f t="shared" si="1"/>
        <v>0.21052631578947367</v>
      </c>
      <c r="V45" s="19">
        <f t="shared" si="2"/>
        <v>0.42105263157894735</v>
      </c>
      <c r="W45" s="19">
        <f t="shared" si="3"/>
        <v>0.15789473684210525</v>
      </c>
    </row>
    <row r="46" spans="1:23" x14ac:dyDescent="0.3">
      <c r="A46" s="15" t="s">
        <v>79</v>
      </c>
      <c r="B46" s="15">
        <f>17+11</f>
        <v>28</v>
      </c>
      <c r="C46" s="15">
        <f>60+43</f>
        <v>103</v>
      </c>
      <c r="D46" s="15">
        <f>46+30</f>
        <v>76</v>
      </c>
      <c r="E46" s="15">
        <f>15+12</f>
        <v>27</v>
      </c>
      <c r="F46" s="15">
        <f>14+10</f>
        <v>24</v>
      </c>
      <c r="G46" s="15">
        <f>9+9</f>
        <v>18</v>
      </c>
      <c r="H46" s="15">
        <f>4+1</f>
        <v>5</v>
      </c>
      <c r="I46" s="15">
        <v>0</v>
      </c>
      <c r="J46" s="15">
        <v>1</v>
      </c>
      <c r="K46" s="15">
        <f>10+5</f>
        <v>15</v>
      </c>
      <c r="L46" s="15">
        <f>11+5</f>
        <v>16</v>
      </c>
      <c r="M46" s="15">
        <v>0</v>
      </c>
      <c r="N46" s="11">
        <f>5+2</f>
        <v>7</v>
      </c>
      <c r="O46" s="11">
        <f>3+8</f>
        <v>11</v>
      </c>
      <c r="P46" s="15">
        <f>1+2</f>
        <v>3</v>
      </c>
      <c r="Q46" s="15">
        <v>1</v>
      </c>
      <c r="R46" s="15">
        <f>0+5</f>
        <v>5</v>
      </c>
      <c r="S46" s="15">
        <f>2+1</f>
        <v>3</v>
      </c>
      <c r="T46" s="19">
        <f t="shared" si="0"/>
        <v>0.58620689655172409</v>
      </c>
      <c r="U46" s="19">
        <f t="shared" si="1"/>
        <v>0.42105263157894735</v>
      </c>
      <c r="V46" s="19">
        <f t="shared" si="2"/>
        <v>1.0072595281306715</v>
      </c>
      <c r="W46" s="19">
        <f t="shared" si="3"/>
        <v>0.31578947368421051</v>
      </c>
    </row>
    <row r="47" spans="1:23" x14ac:dyDescent="0.3">
      <c r="A47" s="15" t="s">
        <v>80</v>
      </c>
      <c r="B47" s="15">
        <v>1</v>
      </c>
      <c r="C47" s="15">
        <v>1</v>
      </c>
      <c r="D47" s="15">
        <v>1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1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  <c r="T47" s="19">
        <f t="shared" si="0"/>
        <v>0</v>
      </c>
      <c r="U47" s="19">
        <f t="shared" si="1"/>
        <v>0</v>
      </c>
      <c r="V47" s="19">
        <f t="shared" si="2"/>
        <v>0</v>
      </c>
      <c r="W47" s="19">
        <f t="shared" si="3"/>
        <v>0</v>
      </c>
    </row>
    <row r="48" spans="1:23" x14ac:dyDescent="0.3">
      <c r="A48" s="15" t="s">
        <v>81</v>
      </c>
      <c r="B48" s="15">
        <v>11</v>
      </c>
      <c r="C48" s="15">
        <v>33</v>
      </c>
      <c r="D48" s="15">
        <v>24</v>
      </c>
      <c r="E48" s="15">
        <v>14</v>
      </c>
      <c r="F48" s="15">
        <v>13</v>
      </c>
      <c r="G48" s="15">
        <v>12</v>
      </c>
      <c r="H48" s="15">
        <v>1</v>
      </c>
      <c r="I48" s="15">
        <v>0</v>
      </c>
      <c r="J48" s="15">
        <v>0</v>
      </c>
      <c r="K48" s="15">
        <v>9</v>
      </c>
      <c r="L48" s="15">
        <v>4</v>
      </c>
      <c r="M48" s="15">
        <v>0</v>
      </c>
      <c r="N48" s="15">
        <v>2</v>
      </c>
      <c r="O48" s="15">
        <v>5</v>
      </c>
      <c r="P48" s="15">
        <v>0</v>
      </c>
      <c r="Q48" s="15">
        <v>0</v>
      </c>
      <c r="R48" s="15">
        <v>0</v>
      </c>
      <c r="S48" s="15">
        <v>0</v>
      </c>
      <c r="T48" s="19">
        <f t="shared" si="0"/>
        <v>0.75862068965517238</v>
      </c>
      <c r="U48" s="19">
        <f t="shared" si="1"/>
        <v>0.58333333333333337</v>
      </c>
      <c r="V48" s="19">
        <f t="shared" si="2"/>
        <v>1.3419540229885056</v>
      </c>
      <c r="W48" s="19">
        <f t="shared" si="3"/>
        <v>0.54166666666666663</v>
      </c>
    </row>
    <row r="49" spans="1:24" x14ac:dyDescent="0.3">
      <c r="A49" s="15" t="s">
        <v>82</v>
      </c>
      <c r="B49" s="15">
        <v>1</v>
      </c>
      <c r="C49" s="15">
        <v>1</v>
      </c>
      <c r="D49" s="15">
        <v>1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9">
        <f t="shared" si="0"/>
        <v>0</v>
      </c>
      <c r="U49" s="19">
        <f t="shared" si="1"/>
        <v>0</v>
      </c>
      <c r="V49" s="19">
        <f t="shared" si="2"/>
        <v>0</v>
      </c>
      <c r="W49" s="19">
        <f t="shared" si="3"/>
        <v>0</v>
      </c>
    </row>
    <row r="50" spans="1:24" x14ac:dyDescent="0.3">
      <c r="A50" s="17" t="s">
        <v>83</v>
      </c>
      <c r="B50" s="15">
        <v>14</v>
      </c>
      <c r="C50" s="15">
        <v>40</v>
      </c>
      <c r="D50" s="15">
        <v>35</v>
      </c>
      <c r="E50" s="15">
        <f>6+2</f>
        <v>8</v>
      </c>
      <c r="F50" s="15">
        <f>7+3</f>
        <v>10</v>
      </c>
      <c r="G50" s="15">
        <f>6+3</f>
        <v>9</v>
      </c>
      <c r="H50" s="15">
        <v>1</v>
      </c>
      <c r="I50" s="15">
        <v>0</v>
      </c>
      <c r="J50" s="15">
        <v>0</v>
      </c>
      <c r="K50" s="15">
        <f>5+1</f>
        <v>6</v>
      </c>
      <c r="L50" s="15">
        <f>2+1</f>
        <v>3</v>
      </c>
      <c r="M50" s="15">
        <v>0</v>
      </c>
      <c r="N50" s="15">
        <v>11</v>
      </c>
      <c r="O50" s="15">
        <v>1</v>
      </c>
      <c r="P50" s="15">
        <v>2</v>
      </c>
      <c r="Q50" s="15">
        <v>1</v>
      </c>
      <c r="R50" s="15">
        <v>0</v>
      </c>
      <c r="S50" s="15">
        <v>1</v>
      </c>
      <c r="T50" s="19">
        <f t="shared" si="0"/>
        <v>0.3888888888888889</v>
      </c>
      <c r="U50" s="19">
        <f t="shared" si="1"/>
        <v>0.31428571428571428</v>
      </c>
      <c r="V50" s="19">
        <f t="shared" si="2"/>
        <v>0.70317460317460312</v>
      </c>
      <c r="W50" s="19">
        <f t="shared" si="3"/>
        <v>0.2857142857142857</v>
      </c>
    </row>
    <row r="51" spans="1:24" x14ac:dyDescent="0.3">
      <c r="A51" s="17" t="s">
        <v>84</v>
      </c>
      <c r="B51" s="11">
        <v>36</v>
      </c>
      <c r="C51" s="11">
        <v>137</v>
      </c>
      <c r="D51" s="11">
        <v>121</v>
      </c>
      <c r="E51" s="15">
        <v>27</v>
      </c>
      <c r="F51" s="11">
        <v>40</v>
      </c>
      <c r="G51" s="11">
        <v>29</v>
      </c>
      <c r="H51" s="15">
        <v>9</v>
      </c>
      <c r="I51" s="15">
        <v>1</v>
      </c>
      <c r="J51" s="15">
        <v>1</v>
      </c>
      <c r="K51" s="15">
        <v>9</v>
      </c>
      <c r="L51" s="15">
        <v>9</v>
      </c>
      <c r="M51" s="15">
        <v>0</v>
      </c>
      <c r="N51" s="15">
        <v>28</v>
      </c>
      <c r="O51" s="15">
        <f>1+4</f>
        <v>5</v>
      </c>
      <c r="P51" s="15">
        <f>1+3</f>
        <v>4</v>
      </c>
      <c r="Q51" s="11">
        <f>3+2</f>
        <v>5</v>
      </c>
      <c r="R51" s="15">
        <f>2+2</f>
        <v>4</v>
      </c>
      <c r="S51" s="15">
        <v>0</v>
      </c>
      <c r="T51" s="19">
        <f t="shared" si="0"/>
        <v>0.42857142857142855</v>
      </c>
      <c r="U51" s="19">
        <f t="shared" si="1"/>
        <v>0.4462809917355372</v>
      </c>
      <c r="V51" s="19">
        <f t="shared" si="2"/>
        <v>0.87485242030696575</v>
      </c>
      <c r="W51" s="19">
        <f t="shared" si="3"/>
        <v>0.33057851239669422</v>
      </c>
    </row>
    <row r="52" spans="1:24" x14ac:dyDescent="0.3">
      <c r="A52" s="15" t="s">
        <v>85</v>
      </c>
      <c r="B52" s="15">
        <v>1</v>
      </c>
      <c r="C52" s="15">
        <v>2</v>
      </c>
      <c r="D52" s="15">
        <v>2</v>
      </c>
      <c r="E52" s="15">
        <v>0</v>
      </c>
      <c r="F52" s="15">
        <v>1</v>
      </c>
      <c r="G52" s="15">
        <v>1</v>
      </c>
      <c r="H52" s="15">
        <v>0</v>
      </c>
      <c r="I52" s="15">
        <v>0</v>
      </c>
      <c r="J52" s="15">
        <v>0</v>
      </c>
      <c r="K52" s="15">
        <v>1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9">
        <f t="shared" si="0"/>
        <v>0.5</v>
      </c>
      <c r="U52" s="19">
        <f t="shared" si="1"/>
        <v>0.5</v>
      </c>
      <c r="V52" s="19">
        <f t="shared" si="2"/>
        <v>1</v>
      </c>
      <c r="W52" s="19">
        <f t="shared" si="3"/>
        <v>0.5</v>
      </c>
    </row>
    <row r="53" spans="1:24" x14ac:dyDescent="0.3">
      <c r="A53" s="17" t="s">
        <v>86</v>
      </c>
      <c r="B53" s="15">
        <v>9</v>
      </c>
      <c r="C53" s="15">
        <v>28</v>
      </c>
      <c r="D53" s="15">
        <v>10</v>
      </c>
      <c r="E53" s="15">
        <v>5</v>
      </c>
      <c r="F53" s="15">
        <f>0+2</f>
        <v>2</v>
      </c>
      <c r="G53" s="15">
        <f>0+2</f>
        <v>2</v>
      </c>
      <c r="H53" s="15">
        <v>0</v>
      </c>
      <c r="I53" s="15">
        <v>0</v>
      </c>
      <c r="J53" s="15">
        <v>0</v>
      </c>
      <c r="K53" s="15">
        <v>0</v>
      </c>
      <c r="L53" s="15">
        <v>9</v>
      </c>
      <c r="M53" s="15">
        <v>0</v>
      </c>
      <c r="N53" s="15">
        <v>1</v>
      </c>
      <c r="O53" s="15">
        <v>0</v>
      </c>
      <c r="P53" s="15">
        <f>1+1</f>
        <v>2</v>
      </c>
      <c r="Q53" s="15">
        <v>0</v>
      </c>
      <c r="R53" s="15">
        <v>0</v>
      </c>
      <c r="S53" s="15">
        <v>0</v>
      </c>
      <c r="T53" s="19">
        <f t="shared" si="0"/>
        <v>1.1000000000000001</v>
      </c>
      <c r="U53" s="19">
        <f t="shared" si="1"/>
        <v>0.2</v>
      </c>
      <c r="V53" s="19">
        <f t="shared" si="2"/>
        <v>1.3</v>
      </c>
      <c r="W53" s="19">
        <f t="shared" si="3"/>
        <v>0.2</v>
      </c>
    </row>
    <row r="54" spans="1:24" x14ac:dyDescent="0.3">
      <c r="A54" s="17" t="s">
        <v>87</v>
      </c>
      <c r="B54" s="15">
        <v>33</v>
      </c>
      <c r="C54" s="15">
        <v>126</v>
      </c>
      <c r="D54" s="15">
        <v>114</v>
      </c>
      <c r="E54" s="15">
        <v>27</v>
      </c>
      <c r="F54" s="15">
        <v>36</v>
      </c>
      <c r="G54" s="15">
        <v>23</v>
      </c>
      <c r="H54" s="15">
        <v>8</v>
      </c>
      <c r="I54" s="15">
        <v>0</v>
      </c>
      <c r="J54" s="15">
        <f>3+2</f>
        <v>5</v>
      </c>
      <c r="K54" s="15">
        <v>28</v>
      </c>
      <c r="L54" s="15">
        <f>6+2</f>
        <v>8</v>
      </c>
      <c r="M54" s="15">
        <v>0</v>
      </c>
      <c r="N54" s="15">
        <f>9+2</f>
        <v>11</v>
      </c>
      <c r="O54" s="15">
        <v>2</v>
      </c>
      <c r="P54" s="11">
        <f>6+5</f>
        <v>11</v>
      </c>
      <c r="Q54" s="15">
        <v>4</v>
      </c>
      <c r="R54" s="15">
        <f>0+1</f>
        <v>1</v>
      </c>
      <c r="S54" s="15">
        <v>1</v>
      </c>
      <c r="T54" s="19">
        <f t="shared" si="0"/>
        <v>0.39655172413793105</v>
      </c>
      <c r="U54" s="19">
        <f t="shared" si="1"/>
        <v>0.51754385964912286</v>
      </c>
      <c r="V54" s="19">
        <f t="shared" si="2"/>
        <v>0.91409558378705391</v>
      </c>
      <c r="W54" s="19">
        <f t="shared" si="3"/>
        <v>0.31578947368421051</v>
      </c>
    </row>
    <row r="55" spans="1:24" x14ac:dyDescent="0.3">
      <c r="A55" s="17" t="s">
        <v>88</v>
      </c>
      <c r="B55" s="15">
        <v>8</v>
      </c>
      <c r="C55" s="15">
        <v>32</v>
      </c>
      <c r="D55" s="15">
        <v>25</v>
      </c>
      <c r="E55" s="15">
        <v>6</v>
      </c>
      <c r="F55" s="15">
        <v>4</v>
      </c>
      <c r="G55" s="15">
        <v>2</v>
      </c>
      <c r="H55" s="15">
        <v>2</v>
      </c>
      <c r="I55" s="15">
        <v>0</v>
      </c>
      <c r="J55" s="15">
        <v>0</v>
      </c>
      <c r="K55" s="15">
        <v>2</v>
      </c>
      <c r="L55" s="15">
        <v>6</v>
      </c>
      <c r="M55" s="15">
        <v>0</v>
      </c>
      <c r="N55" s="15">
        <v>3</v>
      </c>
      <c r="O55" s="15">
        <v>0</v>
      </c>
      <c r="P55" s="15">
        <v>2</v>
      </c>
      <c r="Q55" s="15">
        <v>2</v>
      </c>
      <c r="R55" s="15">
        <v>0</v>
      </c>
      <c r="S55" s="15">
        <v>0</v>
      </c>
      <c r="T55" s="19">
        <f t="shared" si="0"/>
        <v>0.4</v>
      </c>
      <c r="U55" s="19">
        <f t="shared" si="1"/>
        <v>0.24</v>
      </c>
      <c r="V55" s="19">
        <f t="shared" si="2"/>
        <v>0.64</v>
      </c>
      <c r="W55" s="19">
        <f t="shared" si="3"/>
        <v>0.16</v>
      </c>
    </row>
    <row r="56" spans="1:24" x14ac:dyDescent="0.3">
      <c r="A56" s="15" t="s">
        <v>89</v>
      </c>
      <c r="B56" s="15">
        <v>2</v>
      </c>
      <c r="C56" s="15">
        <v>5</v>
      </c>
      <c r="D56" s="15">
        <v>5</v>
      </c>
      <c r="E56" s="15">
        <v>2</v>
      </c>
      <c r="F56" s="15">
        <v>2</v>
      </c>
      <c r="G56" s="15">
        <v>0</v>
      </c>
      <c r="H56" s="15">
        <v>2</v>
      </c>
      <c r="I56" s="15">
        <v>0</v>
      </c>
      <c r="J56" s="15">
        <v>0</v>
      </c>
      <c r="K56" s="15">
        <v>1</v>
      </c>
      <c r="L56" s="15">
        <v>0</v>
      </c>
      <c r="M56" s="15">
        <v>0</v>
      </c>
      <c r="N56" s="15">
        <v>2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9">
        <f t="shared" si="0"/>
        <v>0.4</v>
      </c>
      <c r="U56" s="19">
        <f t="shared" si="1"/>
        <v>0.8</v>
      </c>
      <c r="V56" s="19">
        <f t="shared" si="2"/>
        <v>1.2000000000000002</v>
      </c>
      <c r="W56" s="19">
        <f t="shared" si="3"/>
        <v>0.4</v>
      </c>
    </row>
    <row r="57" spans="1:24" x14ac:dyDescent="0.3">
      <c r="A57" s="15" t="s">
        <v>90</v>
      </c>
      <c r="B57" s="11">
        <v>36</v>
      </c>
      <c r="C57" s="15">
        <v>144</v>
      </c>
      <c r="D57" s="11">
        <v>121</v>
      </c>
      <c r="E57" s="15">
        <v>25</v>
      </c>
      <c r="F57" s="15">
        <v>39</v>
      </c>
      <c r="G57" s="15">
        <v>22</v>
      </c>
      <c r="H57" s="11">
        <v>14</v>
      </c>
      <c r="I57" s="15">
        <v>1</v>
      </c>
      <c r="J57" s="15">
        <v>2</v>
      </c>
      <c r="K57" s="11">
        <v>38</v>
      </c>
      <c r="L57" s="11">
        <v>17</v>
      </c>
      <c r="M57" s="15">
        <v>0</v>
      </c>
      <c r="N57" s="15">
        <v>9</v>
      </c>
      <c r="O57" s="15">
        <f>2+2</f>
        <v>4</v>
      </c>
      <c r="P57" s="15">
        <f>3+2</f>
        <v>5</v>
      </c>
      <c r="Q57" s="15">
        <f>1+1</f>
        <v>2</v>
      </c>
      <c r="R57" s="15">
        <f>1+1</f>
        <v>2</v>
      </c>
      <c r="S57" s="15">
        <v>0</v>
      </c>
      <c r="T57" s="19">
        <f t="shared" si="0"/>
        <v>0.48</v>
      </c>
      <c r="U57" s="19">
        <f t="shared" si="1"/>
        <v>0.50413223140495866</v>
      </c>
      <c r="V57" s="19">
        <f t="shared" si="2"/>
        <v>0.98413223140495865</v>
      </c>
      <c r="W57" s="19">
        <f t="shared" si="3"/>
        <v>0.32231404958677684</v>
      </c>
    </row>
    <row r="58" spans="1:24" x14ac:dyDescent="0.3">
      <c r="A58" s="15" t="s">
        <v>125</v>
      </c>
      <c r="B58" s="15">
        <v>27</v>
      </c>
      <c r="C58" s="15">
        <v>107</v>
      </c>
      <c r="D58" s="15">
        <v>94</v>
      </c>
      <c r="E58" s="15">
        <v>21</v>
      </c>
      <c r="F58" s="15">
        <v>31</v>
      </c>
      <c r="G58" s="15">
        <v>25</v>
      </c>
      <c r="H58" s="15">
        <v>6</v>
      </c>
      <c r="I58" s="15">
        <v>0</v>
      </c>
      <c r="J58" s="15">
        <v>0</v>
      </c>
      <c r="K58" s="15">
        <v>18</v>
      </c>
      <c r="L58" s="15">
        <v>10</v>
      </c>
      <c r="M58" s="15">
        <v>0</v>
      </c>
      <c r="N58" s="15">
        <v>18</v>
      </c>
      <c r="O58" s="15">
        <v>4</v>
      </c>
      <c r="P58" s="15">
        <v>4</v>
      </c>
      <c r="Q58" s="15">
        <f>2+2</f>
        <v>4</v>
      </c>
      <c r="R58" s="15">
        <v>7</v>
      </c>
      <c r="S58" s="15">
        <f>0+1</f>
        <v>1</v>
      </c>
      <c r="T58" s="19">
        <f t="shared" si="0"/>
        <v>0.45918367346938777</v>
      </c>
      <c r="U58" s="19">
        <f t="shared" si="1"/>
        <v>0.39361702127659576</v>
      </c>
      <c r="V58" s="19">
        <f t="shared" si="2"/>
        <v>0.85280069474598352</v>
      </c>
      <c r="W58" s="19">
        <f t="shared" si="3"/>
        <v>0.32978723404255317</v>
      </c>
    </row>
    <row r="59" spans="1:24" x14ac:dyDescent="0.3">
      <c r="A59" s="13" t="s">
        <v>91</v>
      </c>
      <c r="B59" s="13">
        <f t="shared" ref="B59:S59" si="4">SUM(B29:B58)</f>
        <v>432</v>
      </c>
      <c r="C59" s="22">
        <f t="shared" si="4"/>
        <v>1562</v>
      </c>
      <c r="D59" s="22">
        <f t="shared" si="4"/>
        <v>1308</v>
      </c>
      <c r="E59" s="13">
        <f t="shared" si="4"/>
        <v>331</v>
      </c>
      <c r="F59" s="13">
        <f t="shared" si="4"/>
        <v>411</v>
      </c>
      <c r="G59" s="13">
        <f t="shared" si="4"/>
        <v>280</v>
      </c>
      <c r="H59" s="13">
        <f t="shared" si="4"/>
        <v>92</v>
      </c>
      <c r="I59" s="13">
        <f t="shared" si="4"/>
        <v>15</v>
      </c>
      <c r="J59" s="13">
        <f t="shared" si="4"/>
        <v>24</v>
      </c>
      <c r="K59" s="13">
        <f t="shared" si="4"/>
        <v>265</v>
      </c>
      <c r="L59" s="13">
        <f t="shared" si="4"/>
        <v>166</v>
      </c>
      <c r="M59" s="13">
        <f t="shared" si="4"/>
        <v>14</v>
      </c>
      <c r="N59" s="13">
        <f t="shared" si="4"/>
        <v>235</v>
      </c>
      <c r="O59" s="13">
        <f t="shared" si="4"/>
        <v>63</v>
      </c>
      <c r="P59" s="13">
        <f t="shared" si="4"/>
        <v>53</v>
      </c>
      <c r="Q59" s="13">
        <f t="shared" si="4"/>
        <v>43</v>
      </c>
      <c r="R59" s="13">
        <f t="shared" si="4"/>
        <v>56</v>
      </c>
      <c r="S59" s="13">
        <f t="shared" si="4"/>
        <v>7</v>
      </c>
      <c r="T59" s="14">
        <f t="shared" ref="T59" si="5">(F59+L59+O59)/(D59+O59+M59)</f>
        <v>0.46209386281588449</v>
      </c>
      <c r="U59" s="14">
        <f t="shared" ref="U59" si="6">(G59+H59*2+I59*3+J59*4)/D59</f>
        <v>0.46253822629969421</v>
      </c>
      <c r="V59" s="14">
        <f t="shared" ref="V59" si="7">T59+U59</f>
        <v>0.9246320891155787</v>
      </c>
      <c r="W59" s="14">
        <f t="shared" ref="W59" si="8">F59/D59</f>
        <v>0.31422018348623854</v>
      </c>
    </row>
    <row r="60" spans="1:24" x14ac:dyDescent="0.3">
      <c r="A60" s="13"/>
      <c r="B60" s="13"/>
      <c r="C60" s="22"/>
      <c r="D60" s="22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4"/>
      <c r="U60" s="14"/>
      <c r="V60" s="14"/>
      <c r="W60" s="14"/>
    </row>
    <row r="61" spans="1:24" x14ac:dyDescent="0.3">
      <c r="A61" s="13"/>
      <c r="B61" s="13"/>
      <c r="C61" s="22"/>
      <c r="D61" s="22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4"/>
      <c r="U61" s="14"/>
      <c r="V61" s="14"/>
      <c r="W61" s="14"/>
    </row>
    <row r="62" spans="1:24" ht="21" x14ac:dyDescent="0.4">
      <c r="A62" s="34" t="s">
        <v>59</v>
      </c>
      <c r="B62" s="13"/>
      <c r="C62" s="13"/>
      <c r="D62" s="13"/>
      <c r="E62" s="13"/>
      <c r="F62" s="13"/>
      <c r="G62" s="13"/>
      <c r="H62" s="13"/>
      <c r="I62" s="9" t="s">
        <v>53</v>
      </c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4"/>
      <c r="V62" s="14"/>
      <c r="W62" s="14"/>
      <c r="X62" s="14"/>
    </row>
    <row r="63" spans="1:24" x14ac:dyDescent="0.3">
      <c r="A63" s="20" t="s">
        <v>92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4"/>
      <c r="V63" s="14"/>
      <c r="W63" s="14"/>
      <c r="X63" s="14"/>
    </row>
    <row r="64" spans="1:24" x14ac:dyDescent="0.3">
      <c r="B64" s="17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7"/>
      <c r="T64" s="17"/>
      <c r="U64" s="23"/>
      <c r="V64" s="23"/>
      <c r="W64" s="23"/>
      <c r="X64" s="23"/>
    </row>
    <row r="65" spans="1:23" ht="15.6" x14ac:dyDescent="0.3">
      <c r="A65" s="16" t="s">
        <v>53</v>
      </c>
      <c r="B65" s="13" t="s">
        <v>34</v>
      </c>
      <c r="C65" s="13" t="s">
        <v>35</v>
      </c>
      <c r="D65" s="13" t="s">
        <v>36</v>
      </c>
      <c r="E65" s="24" t="s">
        <v>37</v>
      </c>
      <c r="F65" s="13" t="s">
        <v>38</v>
      </c>
      <c r="G65" s="13" t="s">
        <v>39</v>
      </c>
      <c r="H65" s="13" t="s">
        <v>40</v>
      </c>
      <c r="I65" s="13" t="s">
        <v>41</v>
      </c>
      <c r="J65" s="13" t="s">
        <v>42</v>
      </c>
      <c r="K65" s="13" t="s">
        <v>43</v>
      </c>
      <c r="L65" s="13" t="s">
        <v>44</v>
      </c>
      <c r="M65" s="13" t="s">
        <v>45</v>
      </c>
      <c r="N65" s="13" t="s">
        <v>46</v>
      </c>
      <c r="O65" s="13" t="s">
        <v>47</v>
      </c>
      <c r="P65" s="25" t="s">
        <v>48</v>
      </c>
      <c r="Q65" s="25" t="s">
        <v>49</v>
      </c>
      <c r="R65" s="17"/>
      <c r="S65" s="17"/>
      <c r="T65" s="23"/>
      <c r="U65" s="23"/>
      <c r="V65" s="23"/>
      <c r="W65" s="23"/>
    </row>
    <row r="66" spans="1:23" x14ac:dyDescent="0.3">
      <c r="A66" s="15" t="s">
        <v>62</v>
      </c>
      <c r="B66" s="15">
        <v>7</v>
      </c>
      <c r="C66" s="15">
        <f>3+2</f>
        <v>5</v>
      </c>
      <c r="D66" s="15">
        <v>0</v>
      </c>
      <c r="E66" s="26">
        <f>15+10.6666666666667</f>
        <v>25.6666666666667</v>
      </c>
      <c r="F66" s="11">
        <f>3+8</f>
        <v>11</v>
      </c>
      <c r="G66" s="15">
        <f>7+14</f>
        <v>21</v>
      </c>
      <c r="H66" s="15">
        <f>0+1</f>
        <v>1</v>
      </c>
      <c r="I66" s="15">
        <f>9+8</f>
        <v>17</v>
      </c>
      <c r="J66" s="15">
        <f>7+11</f>
        <v>18</v>
      </c>
      <c r="K66" s="11">
        <v>1</v>
      </c>
      <c r="L66" s="15">
        <f>0+6</f>
        <v>6</v>
      </c>
      <c r="M66" s="15">
        <v>1</v>
      </c>
      <c r="N66" s="15">
        <v>2</v>
      </c>
      <c r="O66" s="15">
        <v>0</v>
      </c>
      <c r="P66" s="27">
        <f t="shared" ref="P66:P72" si="9">(F66*9)/E66</f>
        <v>3.8571428571428523</v>
      </c>
      <c r="Q66" s="27">
        <f t="shared" ref="Q66:Q72" si="10">(G66+J66)/E66</f>
        <v>1.5194805194805174</v>
      </c>
      <c r="R66" s="17"/>
      <c r="S66" s="17"/>
      <c r="T66" s="23"/>
      <c r="U66" s="23"/>
      <c r="V66" s="23"/>
      <c r="W66" s="23"/>
    </row>
    <row r="67" spans="1:23" x14ac:dyDescent="0.3">
      <c r="A67" s="15" t="s">
        <v>66</v>
      </c>
      <c r="B67" s="15">
        <v>11</v>
      </c>
      <c r="C67" s="11">
        <v>9</v>
      </c>
      <c r="D67" s="11">
        <f>1+1</f>
        <v>2</v>
      </c>
      <c r="E67" s="30">
        <f>29.3333333333333+27</f>
        <v>56.3333333333333</v>
      </c>
      <c r="F67" s="15">
        <v>25</v>
      </c>
      <c r="G67" s="15">
        <v>70</v>
      </c>
      <c r="H67" s="15">
        <v>2</v>
      </c>
      <c r="I67" s="11">
        <v>40</v>
      </c>
      <c r="J67" s="15">
        <v>19</v>
      </c>
      <c r="K67" s="15">
        <v>10</v>
      </c>
      <c r="L67" s="15">
        <v>2</v>
      </c>
      <c r="M67" s="11">
        <f>4+2</f>
        <v>6</v>
      </c>
      <c r="N67" s="15">
        <v>3</v>
      </c>
      <c r="O67" s="15">
        <v>0</v>
      </c>
      <c r="P67" s="28">
        <f t="shared" si="9"/>
        <v>3.9940828402366888</v>
      </c>
      <c r="Q67" s="28">
        <f t="shared" si="10"/>
        <v>1.5798816568047347</v>
      </c>
      <c r="R67" s="17"/>
      <c r="S67" s="17"/>
      <c r="T67" s="23"/>
      <c r="U67" s="23"/>
      <c r="V67" s="23"/>
      <c r="W67" s="23"/>
    </row>
    <row r="68" spans="1:23" x14ac:dyDescent="0.3">
      <c r="A68" s="15" t="s">
        <v>76</v>
      </c>
      <c r="B68" s="15">
        <f>4+3</f>
        <v>7</v>
      </c>
      <c r="C68" s="15">
        <f>2+2</f>
        <v>4</v>
      </c>
      <c r="D68" s="15">
        <v>0</v>
      </c>
      <c r="E68" s="15">
        <f>10.6666666666667+15.3333</f>
        <v>25.999966666666701</v>
      </c>
      <c r="F68" s="15">
        <f>10+4</f>
        <v>14</v>
      </c>
      <c r="G68" s="15">
        <f>10+16</f>
        <v>26</v>
      </c>
      <c r="H68" s="11">
        <v>0</v>
      </c>
      <c r="I68" s="15">
        <f>8+12</f>
        <v>20</v>
      </c>
      <c r="J68" s="15">
        <f>8+8</f>
        <v>16</v>
      </c>
      <c r="K68" s="15">
        <f>3+7</f>
        <v>10</v>
      </c>
      <c r="L68" s="11">
        <v>1</v>
      </c>
      <c r="M68" s="15">
        <v>1</v>
      </c>
      <c r="N68" s="11">
        <f>0+1</f>
        <v>1</v>
      </c>
      <c r="O68" s="15">
        <v>0</v>
      </c>
      <c r="P68" s="28">
        <f t="shared" si="9"/>
        <v>4.8461600591795566</v>
      </c>
      <c r="Q68" s="28">
        <f t="shared" si="10"/>
        <v>1.6153866863931856</v>
      </c>
      <c r="R68" s="17"/>
      <c r="S68" s="17"/>
      <c r="T68" s="23"/>
      <c r="U68" s="23"/>
      <c r="V68" s="23"/>
      <c r="W68" s="23"/>
    </row>
    <row r="69" spans="1:23" x14ac:dyDescent="0.3">
      <c r="A69" s="15" t="s">
        <v>69</v>
      </c>
      <c r="B69" s="15">
        <v>10</v>
      </c>
      <c r="C69" s="15">
        <v>5</v>
      </c>
      <c r="D69" s="15">
        <v>0</v>
      </c>
      <c r="E69" s="26">
        <v>27.666</v>
      </c>
      <c r="F69" s="15">
        <v>19</v>
      </c>
      <c r="G69" s="15">
        <v>36</v>
      </c>
      <c r="H69" s="15">
        <f>1+1</f>
        <v>2</v>
      </c>
      <c r="I69" s="15">
        <v>9</v>
      </c>
      <c r="J69" s="11">
        <v>10</v>
      </c>
      <c r="K69" s="15">
        <v>7</v>
      </c>
      <c r="L69" s="11">
        <v>1</v>
      </c>
      <c r="M69" s="15">
        <v>1</v>
      </c>
      <c r="N69" s="11">
        <v>1</v>
      </c>
      <c r="O69" s="15">
        <v>0</v>
      </c>
      <c r="P69" s="28">
        <f t="shared" si="9"/>
        <v>6.1808718282368247</v>
      </c>
      <c r="Q69" s="28">
        <f t="shared" si="10"/>
        <v>1.6626906672449939</v>
      </c>
      <c r="R69" s="17"/>
      <c r="S69" s="17"/>
      <c r="T69" s="23"/>
      <c r="U69" s="23"/>
      <c r="V69" s="23"/>
      <c r="W69" s="23"/>
    </row>
    <row r="70" spans="1:23" x14ac:dyDescent="0.3">
      <c r="A70" s="15" t="s">
        <v>88</v>
      </c>
      <c r="B70" s="11">
        <v>13</v>
      </c>
      <c r="C70" s="15">
        <v>8</v>
      </c>
      <c r="D70" s="15">
        <f>0+1</f>
        <v>1</v>
      </c>
      <c r="E70" s="26">
        <f>26.6666666666667+17.6666+5</f>
        <v>49.333266666666702</v>
      </c>
      <c r="F70" s="15">
        <v>26</v>
      </c>
      <c r="G70" s="15">
        <v>67</v>
      </c>
      <c r="H70" s="15">
        <v>1</v>
      </c>
      <c r="I70" s="15">
        <v>31</v>
      </c>
      <c r="J70" s="15">
        <v>27</v>
      </c>
      <c r="K70" s="15">
        <f>3+1</f>
        <v>4</v>
      </c>
      <c r="L70" s="15">
        <v>3</v>
      </c>
      <c r="M70" s="15">
        <f>2+2</f>
        <v>4</v>
      </c>
      <c r="N70" s="15">
        <v>3</v>
      </c>
      <c r="O70" s="15">
        <v>0</v>
      </c>
      <c r="P70" s="28">
        <f t="shared" si="9"/>
        <v>4.7432496530400678</v>
      </c>
      <c r="Q70" s="28">
        <f t="shared" si="10"/>
        <v>1.9054079802810531</v>
      </c>
      <c r="R70" s="17"/>
      <c r="S70" s="17"/>
      <c r="T70" s="23"/>
      <c r="U70" s="23"/>
      <c r="V70" s="23"/>
      <c r="W70" s="23"/>
    </row>
    <row r="71" spans="1:23" x14ac:dyDescent="0.3">
      <c r="A71" s="15" t="s">
        <v>93</v>
      </c>
      <c r="B71" s="15">
        <v>12</v>
      </c>
      <c r="C71" s="15">
        <v>1</v>
      </c>
      <c r="D71" s="15">
        <v>0</v>
      </c>
      <c r="E71" s="26">
        <f>15.666+1</f>
        <v>16.666</v>
      </c>
      <c r="F71" s="15">
        <v>13</v>
      </c>
      <c r="G71" s="11">
        <v>15</v>
      </c>
      <c r="H71" s="15">
        <v>2</v>
      </c>
      <c r="I71" s="15">
        <v>10</v>
      </c>
      <c r="J71" s="15">
        <v>18</v>
      </c>
      <c r="K71" s="15">
        <f>2+1</f>
        <v>3</v>
      </c>
      <c r="L71" s="11">
        <f>0+1</f>
        <v>1</v>
      </c>
      <c r="M71" s="15">
        <v>1</v>
      </c>
      <c r="N71" s="11">
        <v>1</v>
      </c>
      <c r="O71" s="11">
        <v>2</v>
      </c>
      <c r="P71" s="28">
        <f t="shared" si="9"/>
        <v>7.0202808112324488</v>
      </c>
      <c r="Q71" s="28">
        <f t="shared" si="10"/>
        <v>1.9800792031681267</v>
      </c>
      <c r="R71" s="17"/>
      <c r="S71" s="17"/>
      <c r="T71" s="23"/>
      <c r="U71" s="23"/>
      <c r="V71" s="23"/>
      <c r="W71" s="23"/>
    </row>
    <row r="72" spans="1:23" x14ac:dyDescent="0.3">
      <c r="A72" s="15" t="s">
        <v>63</v>
      </c>
      <c r="B72" s="15">
        <f>5+4</f>
        <v>9</v>
      </c>
      <c r="C72" s="15">
        <f>1+3</f>
        <v>4</v>
      </c>
      <c r="D72" s="15">
        <f>0+1</f>
        <v>1</v>
      </c>
      <c r="E72" s="26">
        <f>7.33333333333333+18.3333</f>
        <v>25.66663333333333</v>
      </c>
      <c r="F72" s="15">
        <f>8+16</f>
        <v>24</v>
      </c>
      <c r="G72" s="15">
        <f>9+26</f>
        <v>35</v>
      </c>
      <c r="H72" s="15">
        <f>0+2</f>
        <v>2</v>
      </c>
      <c r="I72" s="15">
        <f>10+11</f>
        <v>21</v>
      </c>
      <c r="J72" s="15">
        <f>10+11</f>
        <v>21</v>
      </c>
      <c r="K72" s="15">
        <f>1+2</f>
        <v>3</v>
      </c>
      <c r="L72" s="15">
        <v>3</v>
      </c>
      <c r="M72" s="15">
        <f>1+1</f>
        <v>2</v>
      </c>
      <c r="N72" s="15">
        <f>0+3</f>
        <v>3</v>
      </c>
      <c r="O72" s="15">
        <v>0</v>
      </c>
      <c r="P72" s="28">
        <f t="shared" si="9"/>
        <v>8.4155953449290202</v>
      </c>
      <c r="Q72" s="28">
        <f t="shared" si="10"/>
        <v>2.1818210153519684</v>
      </c>
      <c r="R72" s="17"/>
      <c r="S72" s="17"/>
      <c r="T72" s="23"/>
      <c r="U72" s="23"/>
      <c r="V72" s="23"/>
      <c r="W72" s="23"/>
    </row>
    <row r="73" spans="1:23" x14ac:dyDescent="0.3">
      <c r="A73" s="15" t="s">
        <v>125</v>
      </c>
      <c r="B73" s="15">
        <v>5</v>
      </c>
      <c r="C73" s="15">
        <v>1</v>
      </c>
      <c r="D73" s="15">
        <v>0</v>
      </c>
      <c r="E73" s="26">
        <v>10.666666666666666</v>
      </c>
      <c r="F73" s="15">
        <v>8</v>
      </c>
      <c r="G73" s="15">
        <v>12</v>
      </c>
      <c r="H73" s="15">
        <v>0</v>
      </c>
      <c r="I73" s="15">
        <v>5</v>
      </c>
      <c r="J73" s="15">
        <v>5</v>
      </c>
      <c r="K73" s="15">
        <v>4</v>
      </c>
      <c r="L73" s="15">
        <v>2</v>
      </c>
      <c r="M73" s="15">
        <v>1</v>
      </c>
      <c r="N73" s="15">
        <v>2</v>
      </c>
      <c r="O73" s="15">
        <v>0</v>
      </c>
      <c r="P73" s="28">
        <f t="shared" ref="P73:P81" si="11">(F73*9)/E73</f>
        <v>6.75</v>
      </c>
      <c r="Q73" s="28">
        <f t="shared" ref="Q73:Q81" si="12">(G73+J73)/E73</f>
        <v>1.59375</v>
      </c>
      <c r="R73" s="17"/>
      <c r="S73" s="17"/>
      <c r="T73" s="23"/>
      <c r="U73" s="23"/>
      <c r="V73" s="23"/>
      <c r="W73" s="23"/>
    </row>
    <row r="74" spans="1:23" x14ac:dyDescent="0.3">
      <c r="A74" s="15" t="s">
        <v>96</v>
      </c>
      <c r="B74" s="15">
        <f>2+1</f>
        <v>3</v>
      </c>
      <c r="C74" s="15">
        <v>1</v>
      </c>
      <c r="D74" s="15">
        <v>0</v>
      </c>
      <c r="E74" s="26">
        <f>4+2.6666</f>
        <v>6.6665999999999999</v>
      </c>
      <c r="F74" s="15">
        <v>4</v>
      </c>
      <c r="G74" s="15">
        <f>3+6</f>
        <v>9</v>
      </c>
      <c r="H74" s="15">
        <v>0</v>
      </c>
      <c r="I74" s="15">
        <f>4+2</f>
        <v>6</v>
      </c>
      <c r="J74" s="15">
        <f>11</f>
        <v>11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28">
        <f t="shared" si="11"/>
        <v>5.4000540005400053</v>
      </c>
      <c r="Q74" s="28">
        <f t="shared" si="12"/>
        <v>3.0000300003000029</v>
      </c>
      <c r="R74" s="17"/>
      <c r="S74" s="17"/>
      <c r="T74" s="23"/>
      <c r="U74" s="23"/>
      <c r="V74" s="23"/>
      <c r="W74" s="23"/>
    </row>
    <row r="75" spans="1:23" x14ac:dyDescent="0.3">
      <c r="A75" s="15" t="s">
        <v>97</v>
      </c>
      <c r="B75" s="15">
        <f>8+2</f>
        <v>10</v>
      </c>
      <c r="C75" s="15">
        <v>0</v>
      </c>
      <c r="D75" s="15">
        <v>0</v>
      </c>
      <c r="E75" s="26">
        <f>6.66666666666667+2</f>
        <v>8.6666666666666696</v>
      </c>
      <c r="F75" s="15">
        <v>6</v>
      </c>
      <c r="G75" s="15">
        <f>6+3</f>
        <v>9</v>
      </c>
      <c r="H75" s="15">
        <v>1</v>
      </c>
      <c r="I75" s="15">
        <v>2</v>
      </c>
      <c r="J75" s="15">
        <f>7+1</f>
        <v>8</v>
      </c>
      <c r="K75" s="15">
        <v>1</v>
      </c>
      <c r="L75" s="15">
        <v>4</v>
      </c>
      <c r="M75" s="15">
        <v>1</v>
      </c>
      <c r="N75" s="15">
        <v>1</v>
      </c>
      <c r="O75" s="15">
        <v>0</v>
      </c>
      <c r="P75" s="28">
        <f t="shared" si="11"/>
        <v>6.2307692307692291</v>
      </c>
      <c r="Q75" s="28">
        <f t="shared" si="12"/>
        <v>1.9615384615384608</v>
      </c>
      <c r="R75" s="17"/>
      <c r="S75" s="17"/>
      <c r="T75" s="23"/>
      <c r="U75" s="23"/>
      <c r="V75" s="23"/>
      <c r="W75" s="23"/>
    </row>
    <row r="76" spans="1:23" x14ac:dyDescent="0.3">
      <c r="A76" s="15" t="s">
        <v>78</v>
      </c>
      <c r="B76" s="15">
        <v>8</v>
      </c>
      <c r="C76" s="15">
        <v>0</v>
      </c>
      <c r="D76" s="15">
        <v>0</v>
      </c>
      <c r="E76" s="26">
        <v>13.666</v>
      </c>
      <c r="F76" s="15">
        <v>8</v>
      </c>
      <c r="G76" s="15">
        <v>14</v>
      </c>
      <c r="H76" s="15">
        <v>0</v>
      </c>
      <c r="I76" s="15">
        <v>10</v>
      </c>
      <c r="J76" s="15">
        <v>16</v>
      </c>
      <c r="K76" s="15">
        <v>2</v>
      </c>
      <c r="L76" s="15">
        <f>3+2</f>
        <v>5</v>
      </c>
      <c r="M76" s="15">
        <v>3</v>
      </c>
      <c r="N76" s="15">
        <v>0</v>
      </c>
      <c r="O76" s="15">
        <v>0</v>
      </c>
      <c r="P76" s="28">
        <f t="shared" si="11"/>
        <v>5.2685496853505045</v>
      </c>
      <c r="Q76" s="28">
        <f t="shared" si="12"/>
        <v>2.1952290355627104</v>
      </c>
      <c r="R76" s="17"/>
      <c r="S76" s="17"/>
      <c r="T76" s="23"/>
      <c r="U76" s="23"/>
      <c r="V76" s="23"/>
      <c r="W76" s="23"/>
    </row>
    <row r="77" spans="1:23" x14ac:dyDescent="0.3">
      <c r="A77" s="15" t="s">
        <v>71</v>
      </c>
      <c r="B77" s="15">
        <v>3</v>
      </c>
      <c r="C77" s="15">
        <v>0</v>
      </c>
      <c r="D77" s="15">
        <v>0</v>
      </c>
      <c r="E77" s="26">
        <f>3.33333333333333+3</f>
        <v>6.3333333333333304</v>
      </c>
      <c r="F77" s="15">
        <f>7+1</f>
        <v>8</v>
      </c>
      <c r="G77" s="15">
        <f>8+3</f>
        <v>11</v>
      </c>
      <c r="H77" s="15">
        <v>0</v>
      </c>
      <c r="I77" s="15">
        <f>1+1</f>
        <v>2</v>
      </c>
      <c r="J77" s="15">
        <f>6+2</f>
        <v>8</v>
      </c>
      <c r="K77" s="15">
        <f>2+1</f>
        <v>3</v>
      </c>
      <c r="L77" s="15">
        <v>4</v>
      </c>
      <c r="M77" s="15">
        <v>0</v>
      </c>
      <c r="N77" s="15">
        <v>0</v>
      </c>
      <c r="O77" s="15">
        <v>0</v>
      </c>
      <c r="P77" s="28">
        <f t="shared" si="11"/>
        <v>11.368421052631584</v>
      </c>
      <c r="Q77" s="28">
        <f t="shared" si="12"/>
        <v>3.0000000000000013</v>
      </c>
      <c r="R77" s="17"/>
      <c r="S77" s="17"/>
      <c r="T77" s="23"/>
      <c r="U77" s="23"/>
      <c r="V77" s="23"/>
      <c r="W77" s="23"/>
    </row>
    <row r="78" spans="1:23" x14ac:dyDescent="0.3">
      <c r="A78" s="15" t="s">
        <v>87</v>
      </c>
      <c r="B78" s="15">
        <v>3</v>
      </c>
      <c r="C78" s="15">
        <v>0</v>
      </c>
      <c r="D78" s="15">
        <v>0</v>
      </c>
      <c r="E78" s="15">
        <v>4</v>
      </c>
      <c r="F78" s="15">
        <v>1</v>
      </c>
      <c r="G78" s="15">
        <v>4</v>
      </c>
      <c r="H78" s="15">
        <v>0</v>
      </c>
      <c r="I78" s="15">
        <v>2</v>
      </c>
      <c r="J78" s="15">
        <v>2</v>
      </c>
      <c r="K78" s="15">
        <v>0</v>
      </c>
      <c r="L78" s="15">
        <v>1</v>
      </c>
      <c r="M78" s="15">
        <v>0</v>
      </c>
      <c r="N78" s="15">
        <v>0</v>
      </c>
      <c r="O78" s="15">
        <v>0</v>
      </c>
      <c r="P78" s="28">
        <f t="shared" si="11"/>
        <v>2.25</v>
      </c>
      <c r="Q78" s="28">
        <f t="shared" si="12"/>
        <v>1.5</v>
      </c>
      <c r="R78" s="17"/>
      <c r="S78" s="17"/>
      <c r="T78" s="23"/>
      <c r="U78" s="23"/>
      <c r="V78" s="23"/>
      <c r="W78" s="23"/>
    </row>
    <row r="79" spans="1:23" x14ac:dyDescent="0.3">
      <c r="A79" s="15" t="s">
        <v>64</v>
      </c>
      <c r="B79" s="15">
        <v>2</v>
      </c>
      <c r="C79" s="15">
        <v>0</v>
      </c>
      <c r="D79" s="15">
        <v>0</v>
      </c>
      <c r="E79" s="29">
        <v>0.33333333333333331</v>
      </c>
      <c r="F79" s="15">
        <v>1</v>
      </c>
      <c r="G79" s="15">
        <v>0</v>
      </c>
      <c r="H79" s="15">
        <v>0</v>
      </c>
      <c r="I79" s="15">
        <v>0</v>
      </c>
      <c r="J79" s="15">
        <v>2</v>
      </c>
      <c r="K79" s="15">
        <v>2</v>
      </c>
      <c r="L79" s="15">
        <v>0</v>
      </c>
      <c r="M79" s="15">
        <v>0</v>
      </c>
      <c r="N79" s="15">
        <v>2</v>
      </c>
      <c r="O79" s="15">
        <v>0</v>
      </c>
      <c r="P79" s="28">
        <f t="shared" si="11"/>
        <v>27</v>
      </c>
      <c r="Q79" s="28">
        <f t="shared" si="12"/>
        <v>6</v>
      </c>
      <c r="R79" s="17"/>
      <c r="S79" s="17"/>
      <c r="T79" s="23"/>
      <c r="U79" s="23"/>
      <c r="V79" s="23"/>
      <c r="W79" s="23"/>
    </row>
    <row r="80" spans="1:23" x14ac:dyDescent="0.3">
      <c r="A80" s="15" t="s">
        <v>94</v>
      </c>
      <c r="B80" s="15">
        <v>1</v>
      </c>
      <c r="C80" s="15">
        <v>0</v>
      </c>
      <c r="D80" s="15">
        <v>0</v>
      </c>
      <c r="E80" s="15">
        <v>2</v>
      </c>
      <c r="F80" s="15">
        <v>3</v>
      </c>
      <c r="G80" s="15">
        <v>0</v>
      </c>
      <c r="H80" s="15">
        <v>0</v>
      </c>
      <c r="I80" s="15">
        <v>0</v>
      </c>
      <c r="J80" s="15">
        <v>3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28">
        <f t="shared" si="11"/>
        <v>13.5</v>
      </c>
      <c r="Q80" s="28">
        <f t="shared" si="12"/>
        <v>1.5</v>
      </c>
      <c r="R80" s="17"/>
      <c r="S80" s="17"/>
      <c r="T80" s="23"/>
      <c r="U80" s="23"/>
      <c r="V80" s="23"/>
      <c r="W80" s="23"/>
    </row>
    <row r="81" spans="1:23" x14ac:dyDescent="0.3">
      <c r="A81" s="15" t="s">
        <v>95</v>
      </c>
      <c r="B81" s="15">
        <v>1</v>
      </c>
      <c r="C81" s="15">
        <v>0</v>
      </c>
      <c r="D81" s="15">
        <v>0</v>
      </c>
      <c r="E81" s="26">
        <v>0.66600000000000004</v>
      </c>
      <c r="F81" s="15">
        <v>4</v>
      </c>
      <c r="G81" s="15">
        <v>5</v>
      </c>
      <c r="H81" s="15">
        <v>0</v>
      </c>
      <c r="I81" s="15">
        <v>0</v>
      </c>
      <c r="J81" s="15">
        <v>1</v>
      </c>
      <c r="K81" s="15">
        <v>0</v>
      </c>
      <c r="L81" s="15">
        <v>1</v>
      </c>
      <c r="M81" s="15">
        <v>0</v>
      </c>
      <c r="N81" s="15">
        <v>0</v>
      </c>
      <c r="O81" s="15">
        <v>0</v>
      </c>
      <c r="P81" s="28">
        <f t="shared" si="11"/>
        <v>54.054054054054049</v>
      </c>
      <c r="Q81" s="28">
        <f t="shared" si="12"/>
        <v>9.0090090090090094</v>
      </c>
      <c r="R81" s="17"/>
      <c r="S81" s="17"/>
      <c r="T81" s="23"/>
      <c r="U81" s="23"/>
      <c r="V81" s="23"/>
      <c r="W81" s="23"/>
    </row>
    <row r="82" spans="1:23" x14ac:dyDescent="0.3">
      <c r="A82" s="31" t="s">
        <v>98</v>
      </c>
      <c r="B82" s="13">
        <f t="shared" ref="B82:O82" si="13">SUM(B66:B81)</f>
        <v>105</v>
      </c>
      <c r="C82" s="31">
        <f t="shared" si="13"/>
        <v>38</v>
      </c>
      <c r="D82" s="32">
        <f t="shared" si="13"/>
        <v>4</v>
      </c>
      <c r="E82" s="24">
        <f t="shared" si="13"/>
        <v>280.33046666666667</v>
      </c>
      <c r="F82" s="13">
        <f t="shared" si="13"/>
        <v>175</v>
      </c>
      <c r="G82" s="13">
        <f t="shared" si="13"/>
        <v>334</v>
      </c>
      <c r="H82" s="13">
        <f t="shared" si="13"/>
        <v>11</v>
      </c>
      <c r="I82" s="13">
        <f t="shared" si="13"/>
        <v>175</v>
      </c>
      <c r="J82" s="13">
        <f t="shared" si="13"/>
        <v>185</v>
      </c>
      <c r="K82" s="13">
        <f t="shared" si="13"/>
        <v>50</v>
      </c>
      <c r="L82" s="13">
        <f t="shared" si="13"/>
        <v>34</v>
      </c>
      <c r="M82" s="13">
        <f t="shared" si="13"/>
        <v>21</v>
      </c>
      <c r="N82" s="13">
        <f t="shared" si="13"/>
        <v>19</v>
      </c>
      <c r="O82" s="13">
        <f t="shared" si="13"/>
        <v>2</v>
      </c>
      <c r="P82" s="33">
        <f t="shared" ref="P82" si="14">(F82*9)/E82</f>
        <v>5.6183689868885702</v>
      </c>
      <c r="Q82" s="33">
        <f t="shared" ref="Q82" si="15">(G82+J82)/E82</f>
        <v>1.8513863518699478</v>
      </c>
      <c r="R82" s="17"/>
      <c r="S82" s="17"/>
      <c r="T82" s="23"/>
      <c r="U82" s="23"/>
      <c r="V82" s="23"/>
      <c r="W82" s="23"/>
    </row>
  </sheetData>
  <sortState xmlns:xlrd2="http://schemas.microsoft.com/office/spreadsheetml/2017/richdata2" ref="A66:Q72">
    <sortCondition ref="Q66:Q72"/>
  </sortState>
  <pageMargins left="0.7" right="0.7" top="0.75" bottom="0.75" header="0.3" footer="0.3"/>
  <pageSetup orientation="portrait" horizontalDpi="4294967293" verticalDpi="0" r:id="rId1"/>
  <ignoredErrors>
    <ignoredError sqref="I20:J2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34A57-B8B4-4827-8DE0-D990E4CC4983}">
  <dimension ref="B2:O30"/>
  <sheetViews>
    <sheetView showGridLines="0" workbookViewId="0"/>
  </sheetViews>
  <sheetFormatPr defaultRowHeight="14.4" x14ac:dyDescent="0.3"/>
  <cols>
    <col min="3" max="3" width="4.88671875" customWidth="1"/>
    <col min="4" max="4" width="17" customWidth="1"/>
    <col min="5" max="5" width="6.6640625" customWidth="1"/>
    <col min="6" max="6" width="15.5546875" customWidth="1"/>
    <col min="7" max="7" width="5" customWidth="1"/>
    <col min="8" max="8" width="15.33203125" customWidth="1"/>
    <col min="9" max="9" width="6.77734375" customWidth="1"/>
    <col min="10" max="10" width="15.44140625" customWidth="1"/>
    <col min="11" max="11" width="5.44140625" customWidth="1"/>
    <col min="12" max="12" width="15.109375" customWidth="1"/>
    <col min="13" max="13" width="3.44140625" customWidth="1"/>
    <col min="14" max="14" width="16.44140625" customWidth="1"/>
  </cols>
  <sheetData>
    <row r="2" spans="2:14" ht="18" x14ac:dyDescent="0.35">
      <c r="B2" s="65" t="s">
        <v>60</v>
      </c>
      <c r="H2" s="42" t="s">
        <v>123</v>
      </c>
    </row>
    <row r="3" spans="2:14" ht="15" thickBot="1" x14ac:dyDescent="0.35"/>
    <row r="4" spans="2:14" ht="15.6" x14ac:dyDescent="0.3">
      <c r="C4" s="52"/>
      <c r="D4" s="53" t="s">
        <v>99</v>
      </c>
      <c r="E4" s="54"/>
      <c r="F4" s="55" t="s">
        <v>100</v>
      </c>
      <c r="G4" s="56"/>
      <c r="H4" s="53" t="s">
        <v>101</v>
      </c>
      <c r="I4" s="54"/>
      <c r="J4" s="55" t="s">
        <v>102</v>
      </c>
      <c r="K4" s="54"/>
      <c r="L4" s="55" t="s">
        <v>103</v>
      </c>
      <c r="M4" s="54"/>
      <c r="N4" s="55" t="s">
        <v>104</v>
      </c>
    </row>
    <row r="5" spans="2:14" x14ac:dyDescent="0.3">
      <c r="B5" s="40"/>
      <c r="C5" s="31">
        <v>36</v>
      </c>
      <c r="D5" s="48" t="s">
        <v>84</v>
      </c>
      <c r="E5" s="31">
        <v>121</v>
      </c>
      <c r="F5" s="48" t="s">
        <v>84</v>
      </c>
      <c r="G5" s="31">
        <v>40</v>
      </c>
      <c r="H5" s="48" t="s">
        <v>84</v>
      </c>
      <c r="I5" s="31">
        <v>29</v>
      </c>
      <c r="J5" s="48" t="s">
        <v>84</v>
      </c>
      <c r="K5" s="31">
        <v>14</v>
      </c>
      <c r="L5" s="49" t="s">
        <v>90</v>
      </c>
      <c r="M5" s="31">
        <v>5</v>
      </c>
      <c r="N5" s="49" t="s">
        <v>62</v>
      </c>
    </row>
    <row r="6" spans="2:14" x14ac:dyDescent="0.3">
      <c r="B6" s="40"/>
      <c r="C6" s="31">
        <v>36</v>
      </c>
      <c r="D6" s="49" t="s">
        <v>90</v>
      </c>
      <c r="E6" s="31">
        <v>121</v>
      </c>
      <c r="F6" s="49" t="s">
        <v>90</v>
      </c>
      <c r="G6" s="31">
        <v>38</v>
      </c>
      <c r="H6" s="49" t="s">
        <v>90</v>
      </c>
      <c r="I6" s="31">
        <f>17+8</f>
        <v>25</v>
      </c>
      <c r="J6" s="49" t="s">
        <v>70</v>
      </c>
      <c r="K6" s="31">
        <v>9</v>
      </c>
      <c r="L6" s="48" t="s">
        <v>84</v>
      </c>
      <c r="M6" s="31">
        <v>4</v>
      </c>
      <c r="N6" s="49" t="s">
        <v>71</v>
      </c>
    </row>
    <row r="7" spans="2:14" ht="15" thickBot="1" x14ac:dyDescent="0.35">
      <c r="B7" s="40"/>
      <c r="C7" s="31">
        <v>33</v>
      </c>
      <c r="D7" s="48" t="s">
        <v>87</v>
      </c>
      <c r="E7" s="31">
        <v>114</v>
      </c>
      <c r="F7" s="48" t="s">
        <v>87</v>
      </c>
      <c r="G7" s="31">
        <v>37</v>
      </c>
      <c r="H7" s="49" t="s">
        <v>76</v>
      </c>
      <c r="I7" s="31">
        <v>25</v>
      </c>
      <c r="J7" s="49" t="s">
        <v>125</v>
      </c>
      <c r="K7" s="31">
        <f>8+1</f>
        <v>9</v>
      </c>
      <c r="L7" s="49" t="s">
        <v>76</v>
      </c>
      <c r="M7" s="31">
        <v>2</v>
      </c>
      <c r="N7" s="49" t="s">
        <v>77</v>
      </c>
    </row>
    <row r="8" spans="2:14" ht="15.6" x14ac:dyDescent="0.3">
      <c r="B8" s="40"/>
      <c r="C8" s="44"/>
      <c r="D8" s="55" t="s">
        <v>105</v>
      </c>
      <c r="E8" s="54"/>
      <c r="F8" s="55" t="s">
        <v>106</v>
      </c>
      <c r="G8" s="54"/>
      <c r="H8" s="55" t="s">
        <v>107</v>
      </c>
      <c r="I8" s="54"/>
      <c r="J8" s="55" t="s">
        <v>108</v>
      </c>
      <c r="K8" s="54"/>
      <c r="L8" s="55" t="s">
        <v>109</v>
      </c>
      <c r="M8" s="54"/>
      <c r="N8" s="55" t="s">
        <v>110</v>
      </c>
    </row>
    <row r="9" spans="2:14" x14ac:dyDescent="0.3">
      <c r="B9" s="40"/>
      <c r="C9" s="31">
        <f>6+1</f>
        <v>7</v>
      </c>
      <c r="D9" s="49" t="s">
        <v>76</v>
      </c>
      <c r="E9" s="31">
        <v>38</v>
      </c>
      <c r="F9" s="49" t="s">
        <v>90</v>
      </c>
      <c r="G9" s="31">
        <f>24+7</f>
        <v>31</v>
      </c>
      <c r="H9" s="49" t="s">
        <v>70</v>
      </c>
      <c r="I9" s="31">
        <f>17+9</f>
        <v>26</v>
      </c>
      <c r="J9" s="49" t="s">
        <v>70</v>
      </c>
      <c r="K9" s="31">
        <v>17</v>
      </c>
      <c r="L9" s="49" t="s">
        <v>90</v>
      </c>
      <c r="M9" s="31">
        <f>5+2</f>
        <v>7</v>
      </c>
      <c r="N9" s="49" t="s">
        <v>79</v>
      </c>
    </row>
    <row r="10" spans="2:14" x14ac:dyDescent="0.3">
      <c r="B10" s="40"/>
      <c r="C10" s="31">
        <v>6</v>
      </c>
      <c r="D10" s="49" t="s">
        <v>62</v>
      </c>
      <c r="E10" s="31">
        <v>31</v>
      </c>
      <c r="F10" s="49" t="s">
        <v>62</v>
      </c>
      <c r="G10" s="31">
        <v>29</v>
      </c>
      <c r="H10" s="49" t="s">
        <v>76</v>
      </c>
      <c r="I10" s="31">
        <v>7</v>
      </c>
      <c r="J10" s="49" t="s">
        <v>125</v>
      </c>
      <c r="K10" s="31">
        <f>11+5</f>
        <v>16</v>
      </c>
      <c r="L10" s="49" t="s">
        <v>79</v>
      </c>
      <c r="M10" s="31">
        <v>9</v>
      </c>
      <c r="N10" s="49" t="s">
        <v>90</v>
      </c>
    </row>
    <row r="11" spans="2:14" x14ac:dyDescent="0.3">
      <c r="B11" s="40"/>
      <c r="C11" s="31">
        <f>3+2</f>
        <v>5</v>
      </c>
      <c r="D11" s="48" t="s">
        <v>87</v>
      </c>
      <c r="E11" s="31">
        <v>28</v>
      </c>
      <c r="F11" s="49" t="s">
        <v>76</v>
      </c>
      <c r="G11" s="31">
        <v>28</v>
      </c>
      <c r="H11" s="49" t="s">
        <v>62</v>
      </c>
      <c r="I11" s="31">
        <f>0+5</f>
        <v>5</v>
      </c>
      <c r="J11" s="49" t="s">
        <v>79</v>
      </c>
      <c r="K11" s="31">
        <f>7+8</f>
        <v>15</v>
      </c>
      <c r="L11" s="49" t="s">
        <v>70</v>
      </c>
      <c r="M11" s="31">
        <f>7+2</f>
        <v>9</v>
      </c>
      <c r="N11" s="49" t="s">
        <v>70</v>
      </c>
    </row>
    <row r="12" spans="2:14" ht="15" thickBot="1" x14ac:dyDescent="0.35">
      <c r="B12" s="40"/>
      <c r="D12" s="40"/>
      <c r="E12" s="31">
        <v>28</v>
      </c>
      <c r="F12" s="48" t="s">
        <v>87</v>
      </c>
      <c r="G12" s="31">
        <v>28</v>
      </c>
      <c r="H12" s="48" t="s">
        <v>65</v>
      </c>
      <c r="I12" s="4"/>
      <c r="J12" s="37"/>
      <c r="K12" s="47"/>
      <c r="L12" s="37"/>
      <c r="M12" s="4"/>
      <c r="N12" s="37"/>
    </row>
    <row r="13" spans="2:14" ht="15.6" x14ac:dyDescent="0.3">
      <c r="B13" s="40"/>
      <c r="C13" s="44"/>
      <c r="D13" s="55" t="s">
        <v>111</v>
      </c>
      <c r="E13" s="54"/>
      <c r="F13" s="55" t="s">
        <v>112</v>
      </c>
      <c r="G13" s="54"/>
      <c r="H13" s="55" t="s">
        <v>113</v>
      </c>
      <c r="I13" s="54"/>
      <c r="J13" s="55" t="s">
        <v>114</v>
      </c>
      <c r="K13" s="50"/>
      <c r="L13" s="50"/>
      <c r="M13" s="50"/>
      <c r="N13" s="50"/>
    </row>
    <row r="14" spans="2:14" x14ac:dyDescent="0.3">
      <c r="B14" s="40"/>
      <c r="C14" s="43">
        <v>0.39500000000000002</v>
      </c>
      <c r="D14" s="49" t="s">
        <v>70</v>
      </c>
      <c r="E14" s="45">
        <v>0.59299999999999997</v>
      </c>
      <c r="F14" s="49" t="s">
        <v>70</v>
      </c>
      <c r="G14" s="45">
        <v>0.68400000000000005</v>
      </c>
      <c r="H14" s="49" t="s">
        <v>76</v>
      </c>
      <c r="I14" s="46">
        <v>1.222</v>
      </c>
      <c r="J14" s="49" t="s">
        <v>76</v>
      </c>
    </row>
    <row r="15" spans="2:14" x14ac:dyDescent="0.3">
      <c r="B15" s="40"/>
      <c r="C15" s="43">
        <v>0.378</v>
      </c>
      <c r="D15" s="49" t="s">
        <v>76</v>
      </c>
      <c r="E15" s="45">
        <v>0.58599999999999997</v>
      </c>
      <c r="F15" s="49" t="s">
        <v>79</v>
      </c>
      <c r="G15" s="45">
        <v>0.67</v>
      </c>
      <c r="H15" s="49" t="s">
        <v>62</v>
      </c>
      <c r="I15" s="46">
        <v>1.143</v>
      </c>
      <c r="J15" s="49" t="s">
        <v>62</v>
      </c>
    </row>
    <row r="16" spans="2:14" ht="15" thickBot="1" x14ac:dyDescent="0.35">
      <c r="B16" s="40"/>
      <c r="C16" s="43">
        <v>0.34</v>
      </c>
      <c r="D16" s="49" t="s">
        <v>62</v>
      </c>
      <c r="E16" s="45">
        <v>0.53800000000000003</v>
      </c>
      <c r="F16" s="49" t="s">
        <v>76</v>
      </c>
      <c r="G16" s="45">
        <v>0.51800000000000002</v>
      </c>
      <c r="H16" s="48" t="s">
        <v>87</v>
      </c>
      <c r="I16" s="46">
        <v>1.087</v>
      </c>
      <c r="J16" s="49" t="s">
        <v>70</v>
      </c>
    </row>
    <row r="17" spans="2:15" x14ac:dyDescent="0.3">
      <c r="C17" s="50"/>
      <c r="D17" s="50"/>
      <c r="E17" s="50"/>
      <c r="F17" s="50"/>
      <c r="G17" s="50"/>
      <c r="H17" s="50"/>
      <c r="I17" s="50"/>
      <c r="J17" s="50"/>
    </row>
    <row r="20" spans="2:15" ht="18" x14ac:dyDescent="0.35">
      <c r="B20" s="64" t="s">
        <v>92</v>
      </c>
      <c r="H20" s="42" t="s">
        <v>124</v>
      </c>
    </row>
    <row r="21" spans="2:15" ht="15" thickBot="1" x14ac:dyDescent="0.35"/>
    <row r="22" spans="2:15" ht="15.6" x14ac:dyDescent="0.3">
      <c r="C22" s="35"/>
      <c r="D22" s="57" t="s">
        <v>99</v>
      </c>
      <c r="E22" s="52"/>
      <c r="F22" s="55" t="s">
        <v>115</v>
      </c>
      <c r="G22" s="56"/>
      <c r="H22" s="53" t="s">
        <v>116</v>
      </c>
      <c r="I22" s="54"/>
      <c r="J22" s="57" t="s">
        <v>117</v>
      </c>
      <c r="K22" s="60"/>
      <c r="L22" s="53" t="s">
        <v>118</v>
      </c>
      <c r="M22" s="57"/>
      <c r="N22" s="53" t="s">
        <v>24</v>
      </c>
    </row>
    <row r="23" spans="2:15" x14ac:dyDescent="0.3">
      <c r="C23" s="38">
        <v>13</v>
      </c>
      <c r="D23" s="18" t="s">
        <v>88</v>
      </c>
      <c r="E23" s="38">
        <v>9</v>
      </c>
      <c r="F23" s="18" t="s">
        <v>66</v>
      </c>
      <c r="G23" s="38">
        <f>3+8</f>
        <v>11</v>
      </c>
      <c r="H23" s="18" t="s">
        <v>62</v>
      </c>
      <c r="I23" s="38">
        <f>4+2</f>
        <v>6</v>
      </c>
      <c r="J23" s="18" t="s">
        <v>66</v>
      </c>
      <c r="K23" s="38">
        <v>1</v>
      </c>
      <c r="L23" s="18" t="s">
        <v>93</v>
      </c>
      <c r="M23" s="38">
        <v>10</v>
      </c>
      <c r="N23" s="18" t="s">
        <v>69</v>
      </c>
      <c r="O23" s="39"/>
    </row>
    <row r="24" spans="2:15" x14ac:dyDescent="0.3">
      <c r="C24" s="38">
        <v>12</v>
      </c>
      <c r="D24" s="18" t="s">
        <v>93</v>
      </c>
      <c r="E24" s="38">
        <v>8</v>
      </c>
      <c r="F24" s="18" t="s">
        <v>88</v>
      </c>
      <c r="G24" s="38">
        <v>13</v>
      </c>
      <c r="H24" s="18" t="s">
        <v>93</v>
      </c>
      <c r="I24" s="38">
        <f>2+2</f>
        <v>4</v>
      </c>
      <c r="J24" s="18" t="s">
        <v>88</v>
      </c>
      <c r="K24" s="38">
        <f>0+1</f>
        <v>1</v>
      </c>
      <c r="L24" s="18" t="s">
        <v>76</v>
      </c>
      <c r="M24" s="38">
        <f>8+8</f>
        <v>16</v>
      </c>
      <c r="N24" s="18" t="s">
        <v>76</v>
      </c>
      <c r="O24" s="39"/>
    </row>
    <row r="25" spans="2:15" x14ac:dyDescent="0.3">
      <c r="C25" s="38">
        <v>11</v>
      </c>
      <c r="D25" s="18" t="s">
        <v>66</v>
      </c>
      <c r="E25" s="38">
        <v>5</v>
      </c>
      <c r="F25" s="18" t="s">
        <v>69</v>
      </c>
      <c r="G25" s="38">
        <f>10+4</f>
        <v>14</v>
      </c>
      <c r="H25" s="18" t="s">
        <v>76</v>
      </c>
      <c r="I25" s="38">
        <f>1+1</f>
        <v>2</v>
      </c>
      <c r="J25" s="18" t="s">
        <v>63</v>
      </c>
      <c r="K25" s="38">
        <v>1</v>
      </c>
      <c r="L25" s="18" t="s">
        <v>69</v>
      </c>
      <c r="M25" s="38">
        <v>18</v>
      </c>
      <c r="N25" s="18" t="s">
        <v>93</v>
      </c>
      <c r="O25" s="39"/>
    </row>
    <row r="26" spans="2:15" ht="15" thickBot="1" x14ac:dyDescent="0.35">
      <c r="C26" s="41"/>
      <c r="E26" s="51">
        <f>3+2</f>
        <v>5</v>
      </c>
      <c r="F26" s="18" t="s">
        <v>62</v>
      </c>
      <c r="G26" s="51"/>
      <c r="H26" s="18"/>
      <c r="I26" s="51"/>
      <c r="J26" s="18"/>
      <c r="K26" s="51"/>
      <c r="L26" s="18"/>
      <c r="M26" s="38">
        <f>7+11</f>
        <v>18</v>
      </c>
      <c r="N26" s="18" t="s">
        <v>62</v>
      </c>
      <c r="O26" s="39"/>
    </row>
    <row r="27" spans="2:15" ht="15.6" x14ac:dyDescent="0.3">
      <c r="C27" s="35"/>
      <c r="D27" s="53" t="s">
        <v>119</v>
      </c>
      <c r="E27" s="54"/>
      <c r="F27" s="58" t="s">
        <v>120</v>
      </c>
      <c r="G27" s="52"/>
      <c r="H27" s="57" t="s">
        <v>101</v>
      </c>
      <c r="I27" s="52"/>
      <c r="J27" s="53" t="s">
        <v>121</v>
      </c>
      <c r="K27" s="54"/>
      <c r="L27" s="55" t="s">
        <v>122</v>
      </c>
      <c r="M27" s="35"/>
      <c r="N27" s="36"/>
    </row>
    <row r="28" spans="2:15" x14ac:dyDescent="0.3">
      <c r="C28" s="38">
        <v>40</v>
      </c>
      <c r="D28" s="18" t="s">
        <v>66</v>
      </c>
      <c r="E28" s="59">
        <f>29.3333333333333+27</f>
        <v>56.3333333333333</v>
      </c>
      <c r="F28" s="18" t="s">
        <v>66</v>
      </c>
      <c r="G28" s="38">
        <v>15</v>
      </c>
      <c r="H28" s="18" t="s">
        <v>93</v>
      </c>
      <c r="I28" s="38">
        <v>3.86</v>
      </c>
      <c r="J28" s="18" t="s">
        <v>62</v>
      </c>
      <c r="K28" s="38">
        <v>1.52</v>
      </c>
      <c r="L28" s="15" t="s">
        <v>62</v>
      </c>
      <c r="M28" s="38"/>
      <c r="N28" s="18"/>
    </row>
    <row r="29" spans="2:15" x14ac:dyDescent="0.3">
      <c r="C29" s="38">
        <v>31</v>
      </c>
      <c r="D29" s="18" t="s">
        <v>88</v>
      </c>
      <c r="E29" s="59">
        <f>26.6666666666667+17.6666+5</f>
        <v>49.333266666666702</v>
      </c>
      <c r="F29" s="18" t="s">
        <v>88</v>
      </c>
      <c r="G29" s="38">
        <f>7+14</f>
        <v>21</v>
      </c>
      <c r="H29" s="18" t="s">
        <v>62</v>
      </c>
      <c r="I29" s="38">
        <v>3.99</v>
      </c>
      <c r="J29" s="18" t="s">
        <v>66</v>
      </c>
      <c r="K29" s="38">
        <v>1.58</v>
      </c>
      <c r="L29" s="15" t="s">
        <v>66</v>
      </c>
      <c r="M29" s="38"/>
      <c r="N29" s="18"/>
    </row>
    <row r="30" spans="2:15" ht="15" thickBot="1" x14ac:dyDescent="0.35">
      <c r="C30" s="51">
        <f>10+11</f>
        <v>21</v>
      </c>
      <c r="D30" s="61" t="s">
        <v>63</v>
      </c>
      <c r="E30" s="62">
        <v>27.666</v>
      </c>
      <c r="F30" s="61" t="s">
        <v>69</v>
      </c>
      <c r="G30" s="51">
        <f>10+16</f>
        <v>26</v>
      </c>
      <c r="H30" s="61" t="s">
        <v>76</v>
      </c>
      <c r="I30" s="51">
        <v>4.74</v>
      </c>
      <c r="J30" s="61" t="s">
        <v>88</v>
      </c>
      <c r="K30" s="51">
        <v>1.62</v>
      </c>
      <c r="L30" s="63" t="s">
        <v>76</v>
      </c>
      <c r="M30" s="38"/>
      <c r="N30" s="18"/>
    </row>
  </sheetData>
  <pageMargins left="0.7" right="0.7" top="0.75" bottom="0.75" header="0.3" footer="0.3"/>
  <pageSetup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2022</vt:lpstr>
      <vt:lpstr>Top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Burke</dc:creator>
  <cp:lastModifiedBy>Steve Burke</cp:lastModifiedBy>
  <dcterms:created xsi:type="dcterms:W3CDTF">2019-08-28T19:06:22Z</dcterms:created>
  <dcterms:modified xsi:type="dcterms:W3CDTF">2023-01-10T20:37:18Z</dcterms:modified>
</cp:coreProperties>
</file>